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5"/>
  </bookViews>
  <sheets>
    <sheet name="Dades" sheetId="1" r:id="rId1"/>
    <sheet name="CÀLCUL 1" sheetId="2" r:id="rId2"/>
    <sheet name="CÀLCUL 2" sheetId="3" r:id="rId3"/>
    <sheet name="CÀLCUL 3" sheetId="4" r:id="rId4"/>
    <sheet name="CÀLCUL 4" sheetId="5" r:id="rId5"/>
    <sheet name="CÀLCUL 5" sheetId="6" r:id="rId6"/>
  </sheets>
  <definedNames>
    <definedName name="_xlnm.Print_Titles" localSheetId="1">'CÀLCUL 1'!$A:$D</definedName>
  </definedNames>
  <calcPr fullCalcOnLoad="1"/>
</workbook>
</file>

<file path=xl/sharedStrings.xml><?xml version="1.0" encoding="utf-8"?>
<sst xmlns="http://schemas.openxmlformats.org/spreadsheetml/2006/main" count="166" uniqueCount="133">
  <si>
    <t>Aprovisionaments</t>
  </si>
  <si>
    <t>Altres ingressos d'explotació</t>
  </si>
  <si>
    <t>Despeses de personal</t>
  </si>
  <si>
    <t>Altres despeses d'explotació</t>
  </si>
  <si>
    <t>Amortització de l'immobilitzat</t>
  </si>
  <si>
    <t>Ingressos financers</t>
  </si>
  <si>
    <t>Despeses financeres</t>
  </si>
  <si>
    <t>Impost sobre benefis</t>
  </si>
  <si>
    <t xml:space="preserve"> +</t>
  </si>
  <si>
    <t xml:space="preserve"> -</t>
  </si>
  <si>
    <t xml:space="preserve"> +/-</t>
  </si>
  <si>
    <t>Amortitzacions</t>
  </si>
  <si>
    <t>Variacions de capital circulant</t>
  </si>
  <si>
    <t>Exercici inicial</t>
  </si>
  <si>
    <t>Impost de societats</t>
  </si>
  <si>
    <t>D</t>
  </si>
  <si>
    <t>E</t>
  </si>
  <si>
    <t>t</t>
  </si>
  <si>
    <t>Rf</t>
  </si>
  <si>
    <t>Taxa de rendibilitat del mercat</t>
  </si>
  <si>
    <t>Rm</t>
  </si>
  <si>
    <t>Beta de l'empresa</t>
  </si>
  <si>
    <t>http://www.sbolsas.com/mensual/im_201104.pdf</t>
  </si>
  <si>
    <t>2006</t>
  </si>
  <si>
    <t>2007</t>
  </si>
  <si>
    <t>2008</t>
  </si>
  <si>
    <t>2009</t>
  </si>
  <si>
    <t>Variació</t>
  </si>
  <si>
    <t>Resultat després impostos</t>
  </si>
  <si>
    <t>Rendibilitat financera</t>
  </si>
  <si>
    <t>http://www.tesoro.es/sp/subastas/resultados/o_10a_11_05_19.asp</t>
  </si>
  <si>
    <t>β</t>
  </si>
  <si>
    <t>k</t>
  </si>
  <si>
    <t>Anys previsió</t>
  </si>
  <si>
    <t xml:space="preserve">Pessimista </t>
  </si>
  <si>
    <t>Optimista</t>
  </si>
  <si>
    <t>Actiu</t>
  </si>
  <si>
    <t>Actiu no corrent</t>
  </si>
  <si>
    <t>Actiu corrent</t>
  </si>
  <si>
    <t>Patrimoni net i passiu</t>
  </si>
  <si>
    <t>Patrimoni net</t>
  </si>
  <si>
    <t>Passiu no corrent</t>
  </si>
  <si>
    <t>Passiu corrent</t>
  </si>
  <si>
    <t>BAAIT</t>
  </si>
  <si>
    <t>Vendes</t>
  </si>
  <si>
    <t>BOIT</t>
  </si>
  <si>
    <t>Empresa 1</t>
  </si>
  <si>
    <t>Empresa 2</t>
  </si>
  <si>
    <t>Empresa 3</t>
  </si>
  <si>
    <t>Mitjana</t>
  </si>
  <si>
    <t>(deduïda la inflació)</t>
  </si>
  <si>
    <t>Béns de consum</t>
  </si>
  <si>
    <t>Múltiples</t>
  </si>
  <si>
    <t>Valor màxim:</t>
  </si>
  <si>
    <t>Valor mínim:</t>
  </si>
  <si>
    <t>Càlcul en empreses de referència:</t>
  </si>
  <si>
    <t>Aplicació del càlcul en la nostra empresa:</t>
  </si>
  <si>
    <t>La valoració de l'empresa queda establerta entre:</t>
  </si>
  <si>
    <t>Indicador</t>
  </si>
  <si>
    <t>Valor mitjà:</t>
  </si>
  <si>
    <t>Preu transacció</t>
  </si>
  <si>
    <t>Rang:</t>
  </si>
  <si>
    <t>Ajust (±)</t>
  </si>
  <si>
    <t>Creixement previst</t>
  </si>
  <si>
    <t>Inflació prevista</t>
  </si>
  <si>
    <t>Dades inicials</t>
  </si>
  <si>
    <r>
      <t>Taxa de creixement (</t>
    </r>
    <r>
      <rPr>
        <b/>
        <i/>
        <sz val="12"/>
        <rFont val="Calibri"/>
        <family val="2"/>
      </rPr>
      <t>g</t>
    </r>
    <r>
      <rPr>
        <b/>
        <sz val="12"/>
        <rFont val="Calibri"/>
        <family val="2"/>
      </rPr>
      <t>)</t>
    </r>
  </si>
  <si>
    <t>Import net de la xifra de negoci</t>
  </si>
  <si>
    <t>Deterioraments, provisions…</t>
  </si>
  <si>
    <t>Inversions netes en actiu fix (altes - baixes)</t>
  </si>
  <si>
    <r>
      <t xml:space="preserve">Interessos (1 - </t>
    </r>
    <r>
      <rPr>
        <b/>
        <i/>
        <sz val="10"/>
        <color indexed="9"/>
        <rFont val="Calibri"/>
        <family val="2"/>
      </rPr>
      <t>t</t>
    </r>
    <r>
      <rPr>
        <b/>
        <sz val="10"/>
        <color indexed="9"/>
        <rFont val="Calibri"/>
        <family val="2"/>
      </rPr>
      <t>)</t>
    </r>
  </si>
  <si>
    <t>% endeutament</t>
  </si>
  <si>
    <t>% fons propis</t>
  </si>
  <si>
    <t>Cost deute</t>
  </si>
  <si>
    <t>Tipus impostiu</t>
  </si>
  <si>
    <t>Taxa de rendibilitat sense risc</t>
  </si>
  <si>
    <t>Volatilitat mercat</t>
  </si>
  <si>
    <t>Volatilitat empresa</t>
  </si>
  <si>
    <r>
      <t>δ</t>
    </r>
    <r>
      <rPr>
        <i/>
        <sz val="11"/>
        <rFont val="Calibri"/>
        <family val="2"/>
      </rPr>
      <t>m</t>
    </r>
  </si>
  <si>
    <r>
      <t>δ</t>
    </r>
    <r>
      <rPr>
        <i/>
        <sz val="11"/>
        <rFont val="Calibri"/>
        <family val="2"/>
      </rPr>
      <t>a</t>
    </r>
  </si>
  <si>
    <t>Índex general (base 1985 = 100)</t>
  </si>
  <si>
    <t>Desviació estàndard mercat</t>
  </si>
  <si>
    <t>Fons propis</t>
  </si>
  <si>
    <t>Càlcul</t>
  </si>
  <si>
    <t>Valor actual dels fluxos de caixa</t>
  </si>
  <si>
    <t>Valor actual del valor terminal</t>
  </si>
  <si>
    <t>Valor actual empresa</t>
  </si>
  <si>
    <t>Deutes</t>
  </si>
  <si>
    <t>deutes</t>
  </si>
  <si>
    <t>Actius no afectes</t>
  </si>
  <si>
    <t>Valor total empresa</t>
  </si>
  <si>
    <t>Dades referència</t>
  </si>
  <si>
    <t>Pessimista moderat</t>
  </si>
  <si>
    <t>Optimista moderat</t>
  </si>
  <si>
    <t>Determinació dels fluxos de caixa</t>
  </si>
  <si>
    <t>Compte de pèrdues i guanys</t>
  </si>
  <si>
    <t>Resultat d'explotació</t>
  </si>
  <si>
    <t>Resultat financer</t>
  </si>
  <si>
    <t>Resultat abans d'impostos</t>
  </si>
  <si>
    <t>Resultat net després d'impostos</t>
  </si>
  <si>
    <r>
      <t>Flux de caixa lliure (</t>
    </r>
    <r>
      <rPr>
        <b/>
        <i/>
        <sz val="10"/>
        <rFont val="Calibri"/>
        <family val="2"/>
      </rPr>
      <t>free cash flow</t>
    </r>
    <r>
      <rPr>
        <b/>
        <sz val="10"/>
        <rFont val="Calibri"/>
        <family val="2"/>
      </rPr>
      <t>)</t>
    </r>
  </si>
  <si>
    <t>Dades històriques</t>
  </si>
  <si>
    <t>Dades previstes</t>
  </si>
  <si>
    <t>Balanç de situació</t>
  </si>
  <si>
    <r>
      <t>Valor terminal (</t>
    </r>
    <r>
      <rPr>
        <b/>
        <i/>
        <sz val="10"/>
        <rFont val="Calibri"/>
        <family val="2"/>
      </rPr>
      <t>Vt</t>
    </r>
    <r>
      <rPr>
        <b/>
        <sz val="10"/>
        <rFont val="Calibri"/>
        <family val="2"/>
      </rPr>
      <t>)</t>
    </r>
  </si>
  <si>
    <t>Estimació taxa descompte</t>
  </si>
  <si>
    <t>ki</t>
  </si>
  <si>
    <t>ke</t>
  </si>
  <si>
    <t>Dades</t>
  </si>
  <si>
    <t>Mercat</t>
  </si>
  <si>
    <t>Empresa</t>
  </si>
  <si>
    <t>Càlcul taxa descompte</t>
  </si>
  <si>
    <t>Cost del deute</t>
  </si>
  <si>
    <t>Cost dels fons propis</t>
  </si>
  <si>
    <t>Taxa descompte</t>
  </si>
  <si>
    <t>Sensibilitat de la taxa de descompte segons l'estructura financera</t>
  </si>
  <si>
    <r>
      <t>Desviació estàndard empresa (</t>
    </r>
    <r>
      <rPr>
        <b/>
        <i/>
        <sz val="11"/>
        <color indexed="9"/>
        <rFont val="Calibri"/>
        <family val="2"/>
      </rPr>
      <t>ga</t>
    </r>
    <r>
      <rPr>
        <b/>
        <sz val="11"/>
        <color indexed="9"/>
        <rFont val="Calibri"/>
        <family val="2"/>
      </rPr>
      <t>)</t>
    </r>
  </si>
  <si>
    <t>Escenaris alternatius</t>
  </si>
  <si>
    <t>Variació de les variables de referència</t>
  </si>
  <si>
    <t>Taxa creixement</t>
  </si>
  <si>
    <t>actius no afectes</t>
  </si>
  <si>
    <t>Determinació del valor actual i ajustos</t>
  </si>
  <si>
    <t>Altres mètodes de valoració i resum de resultats</t>
  </si>
  <si>
    <t>Valor descompte fluxos efectiu</t>
  </si>
  <si>
    <t>Valor empresa</t>
  </si>
  <si>
    <t>Valor comptable ajustat (patrimoni net ajustat)</t>
  </si>
  <si>
    <t>Valor balanç</t>
  </si>
  <si>
    <t>Valor ajustat</t>
  </si>
  <si>
    <t>Patrimoni net ajustat</t>
  </si>
  <si>
    <t>Valors múltiples</t>
  </si>
  <si>
    <t xml:space="preserve">Mitjana darrers 4 anys </t>
  </si>
  <si>
    <r>
      <t>Desviació estàndard sector (</t>
    </r>
    <r>
      <rPr>
        <b/>
        <i/>
        <sz val="11"/>
        <color indexed="9"/>
        <rFont val="Calibri"/>
        <family val="2"/>
      </rPr>
      <t>gm</t>
    </r>
    <r>
      <rPr>
        <b/>
        <sz val="11"/>
        <color indexed="9"/>
        <rFont val="Calibri"/>
        <family val="2"/>
      </rPr>
      <t>)</t>
    </r>
  </si>
  <si>
    <t>kd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</si>
</sst>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0_ ;[Red]\-#,##0.00\ "/>
    <numFmt numFmtId="166" formatCode="#,##0.00_ ;\(#,##0.00\)\ 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%"/>
    <numFmt numFmtId="173" formatCode="#,##0.000_ ;\(#,##0.000\)\ "/>
    <numFmt numFmtId="174" formatCode="#,##0.0000_ ;\(#,##0.0000\)\ "/>
    <numFmt numFmtId="175" formatCode="#,##0.00000_ ;\(#,##0.00000\)\ "/>
    <numFmt numFmtId="176" formatCode="#,##0.000000_ ;\(#,##0.000000\)\ "/>
    <numFmt numFmtId="177" formatCode="#,##0.00\ &quot;€&quot;"/>
    <numFmt numFmtId="178" formatCode="#,##0_ ;[Red]\-#,##0\ "/>
    <numFmt numFmtId="179" formatCode="#,##0.0_ ;[Red]\-#,##0.0\ "/>
  </numFmts>
  <fonts count="65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name val="Arial"/>
      <family val="0"/>
    </font>
    <font>
      <b/>
      <i/>
      <sz val="12"/>
      <name val="Calibri"/>
      <family val="2"/>
    </font>
    <font>
      <b/>
      <i/>
      <sz val="10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.75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7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0" fontId="3" fillId="0" borderId="0" xfId="53" applyNumberFormat="1" applyFont="1" applyAlignment="1">
      <alignment horizontal="right"/>
    </xf>
    <xf numFmtId="166" fontId="2" fillId="0" borderId="0" xfId="0" applyNumberFormat="1" applyFont="1" applyAlignment="1">
      <alignment/>
    </xf>
    <xf numFmtId="10" fontId="3" fillId="0" borderId="14" xfId="53" applyNumberFormat="1" applyFont="1" applyBorder="1" applyAlignment="1">
      <alignment horizontal="right"/>
    </xf>
    <xf numFmtId="10" fontId="3" fillId="34" borderId="14" xfId="53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4" fillId="35" borderId="11" xfId="0" applyNumberFormat="1" applyFont="1" applyFill="1" applyBorder="1" applyAlignment="1">
      <alignment/>
    </xf>
    <xf numFmtId="10" fontId="4" fillId="35" borderId="11" xfId="53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/>
    </xf>
    <xf numFmtId="10" fontId="4" fillId="0" borderId="0" xfId="53" applyNumberFormat="1" applyFont="1" applyFill="1" applyBorder="1" applyAlignment="1">
      <alignment horizontal="right"/>
    </xf>
    <xf numFmtId="10" fontId="3" fillId="0" borderId="0" xfId="53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3" fillId="0" borderId="18" xfId="0" applyNumberFormat="1" applyFont="1" applyFill="1" applyBorder="1" applyAlignment="1">
      <alignment/>
    </xf>
    <xf numFmtId="10" fontId="3" fillId="0" borderId="18" xfId="53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>
      <alignment/>
    </xf>
    <xf numFmtId="10" fontId="3" fillId="0" borderId="19" xfId="53" applyNumberFormat="1" applyFont="1" applyFill="1" applyBorder="1" applyAlignment="1">
      <alignment horizontal="right"/>
    </xf>
    <xf numFmtId="166" fontId="4" fillId="35" borderId="0" xfId="0" applyNumberFormat="1" applyFont="1" applyFill="1" applyBorder="1" applyAlignment="1">
      <alignment/>
    </xf>
    <xf numFmtId="10" fontId="4" fillId="35" borderId="0" xfId="53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/>
    </xf>
    <xf numFmtId="10" fontId="3" fillId="0" borderId="20" xfId="53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/>
    </xf>
    <xf numFmtId="10" fontId="3" fillId="0" borderId="21" xfId="5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10" fillId="0" borderId="0" xfId="53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13" fillId="0" borderId="0" xfId="43" applyFont="1" applyAlignment="1" applyProtection="1">
      <alignment/>
      <protection/>
    </xf>
    <xf numFmtId="0" fontId="9" fillId="0" borderId="0" xfId="0" applyNumberFormat="1" applyFont="1" applyAlignment="1">
      <alignment/>
    </xf>
    <xf numFmtId="0" fontId="12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10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0" fontId="9" fillId="0" borderId="0" xfId="53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166" fontId="12" fillId="0" borderId="18" xfId="0" applyNumberFormat="1" applyFont="1" applyFill="1" applyBorder="1" applyAlignment="1">
      <alignment/>
    </xf>
    <xf numFmtId="10" fontId="12" fillId="0" borderId="18" xfId="53" applyNumberFormat="1" applyFont="1" applyFill="1" applyBorder="1" applyAlignment="1">
      <alignment/>
    </xf>
    <xf numFmtId="176" fontId="12" fillId="0" borderId="18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0" fontId="9" fillId="0" borderId="0" xfId="53" applyNumberFormat="1" applyFont="1" applyAlignment="1">
      <alignment/>
    </xf>
    <xf numFmtId="10" fontId="12" fillId="34" borderId="13" xfId="53" applyNumberFormat="1" applyFont="1" applyFill="1" applyBorder="1" applyAlignment="1">
      <alignment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34" borderId="14" xfId="0" applyFont="1" applyFill="1" applyBorder="1" applyAlignment="1">
      <alignment/>
    </xf>
    <xf numFmtId="10" fontId="12" fillId="34" borderId="14" xfId="53" applyNumberFormat="1" applyFont="1" applyFill="1" applyBorder="1" applyAlignment="1">
      <alignment horizontal="center"/>
    </xf>
    <xf numFmtId="10" fontId="12" fillId="0" borderId="13" xfId="53" applyNumberFormat="1" applyFont="1" applyBorder="1" applyAlignment="1">
      <alignment/>
    </xf>
    <xf numFmtId="10" fontId="12" fillId="0" borderId="14" xfId="53" applyNumberFormat="1" applyFont="1" applyBorder="1" applyAlignment="1">
      <alignment horizontal="right"/>
    </xf>
    <xf numFmtId="10" fontId="9" fillId="0" borderId="20" xfId="53" applyNumberFormat="1" applyFont="1" applyFill="1" applyBorder="1" applyAlignment="1">
      <alignment horizontal="center"/>
    </xf>
    <xf numFmtId="10" fontId="12" fillId="0" borderId="14" xfId="53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7" fontId="10" fillId="34" borderId="14" xfId="5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10" fontId="10" fillId="0" borderId="0" xfId="53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0" fontId="16" fillId="35" borderId="11" xfId="53" applyNumberFormat="1" applyFont="1" applyFill="1" applyBorder="1" applyAlignment="1">
      <alignment horizontal="center"/>
    </xf>
    <xf numFmtId="177" fontId="16" fillId="35" borderId="11" xfId="53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34" borderId="13" xfId="53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10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7" fontId="19" fillId="34" borderId="13" xfId="53" applyNumberFormat="1" applyFont="1" applyFill="1" applyBorder="1" applyAlignment="1">
      <alignment horizontal="center"/>
    </xf>
    <xf numFmtId="177" fontId="19" fillId="34" borderId="14" xfId="53" applyNumberFormat="1" applyFont="1" applyFill="1" applyBorder="1" applyAlignment="1">
      <alignment horizontal="center"/>
    </xf>
    <xf numFmtId="8" fontId="19" fillId="0" borderId="1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6" fillId="33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1" fillId="0" borderId="18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 horizontal="right"/>
    </xf>
    <xf numFmtId="166" fontId="10" fillId="0" borderId="18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165" fontId="10" fillId="34" borderId="14" xfId="53" applyNumberFormat="1" applyFont="1" applyFill="1" applyBorder="1" applyAlignment="1">
      <alignment horizontal="right"/>
    </xf>
    <xf numFmtId="165" fontId="11" fillId="0" borderId="14" xfId="53" applyNumberFormat="1" applyFont="1" applyBorder="1" applyAlignment="1">
      <alignment horizontal="right"/>
    </xf>
    <xf numFmtId="178" fontId="11" fillId="0" borderId="0" xfId="53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6" fillId="34" borderId="11" xfId="0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21" fillId="35" borderId="18" xfId="0" applyNumberFormat="1" applyFont="1" applyFill="1" applyBorder="1" applyAlignment="1">
      <alignment/>
    </xf>
    <xf numFmtId="165" fontId="10" fillId="0" borderId="14" xfId="53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5" fontId="10" fillId="0" borderId="0" xfId="0" applyNumberFormat="1" applyFont="1" applyAlignment="1">
      <alignment horizontal="right"/>
    </xf>
    <xf numFmtId="166" fontId="10" fillId="0" borderId="18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5" fontId="11" fillId="0" borderId="0" xfId="0" applyNumberFormat="1" applyFont="1" applyBorder="1" applyAlignment="1">
      <alignment horizontal="center"/>
    </xf>
    <xf numFmtId="177" fontId="19" fillId="0" borderId="16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13" xfId="0" applyFont="1" applyBorder="1" applyAlignment="1">
      <alignment/>
    </xf>
    <xf numFmtId="0" fontId="27" fillId="33" borderId="11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13" xfId="53" applyNumberFormat="1" applyFont="1" applyBorder="1" applyAlignment="1">
      <alignment horizontal="right"/>
    </xf>
    <xf numFmtId="165" fontId="11" fillId="0" borderId="14" xfId="53" applyNumberFormat="1" applyFont="1" applyBorder="1" applyAlignment="1">
      <alignment horizontal="right"/>
    </xf>
    <xf numFmtId="165" fontId="11" fillId="0" borderId="24" xfId="53" applyNumberFormat="1" applyFont="1" applyBorder="1" applyAlignment="1">
      <alignment horizontal="right"/>
    </xf>
    <xf numFmtId="165" fontId="11" fillId="0" borderId="25" xfId="53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Valoració empresa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775"/>
          <c:w val="0.9592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5'!$C$50:$C$57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5'!$D$50:$D$57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5'!$E$50:$E$57</c:f>
              <c:numCache/>
            </c:numRef>
          </c:val>
        </c:ser>
        <c:ser>
          <c:idx val="3"/>
          <c:order val="3"/>
          <c:spPr>
            <a:solidFill>
              <a:srgbClr val="96969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5'!$F$50:$F$57</c:f>
              <c:numCache/>
            </c:numRef>
          </c:val>
        </c:ser>
        <c:overlap val="100"/>
        <c:gapWidth val="80"/>
        <c:axId val="48127447"/>
        <c:axId val="30493840"/>
      </c:bar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93840"/>
        <c:crosses val="autoZero"/>
        <c:auto val="1"/>
        <c:lblOffset val="0"/>
        <c:tickLblSkip val="1"/>
        <c:noMultiLvlLbl val="0"/>
      </c:catAx>
      <c:valAx>
        <c:axId val="3049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12744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47</xdr:row>
      <xdr:rowOff>66675</xdr:rowOff>
    </xdr:from>
    <xdr:to>
      <xdr:col>13</xdr:col>
      <xdr:colOff>476250</xdr:colOff>
      <xdr:row>63</xdr:row>
      <xdr:rowOff>95250</xdr:rowOff>
    </xdr:to>
    <xdr:graphicFrame>
      <xdr:nvGraphicFramePr>
        <xdr:cNvPr id="1" name="Chart 3"/>
        <xdr:cNvGraphicFramePr/>
      </xdr:nvGraphicFramePr>
      <xdr:xfrm>
        <a:off x="3914775" y="9372600"/>
        <a:ext cx="4762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olsas.com/mensual/im_201104.pdf" TargetMode="External" /><Relationship Id="rId2" Type="http://schemas.openxmlformats.org/officeDocument/2006/relationships/hyperlink" Target="http://www.tesoro.es/sp/subastas/resultados/o_10a_11_05_19.as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11.421875" style="57" customWidth="1"/>
    <col min="2" max="2" width="23.421875" style="57" customWidth="1"/>
    <col min="3" max="16384" width="11.421875" style="57" customWidth="1"/>
  </cols>
  <sheetData>
    <row r="2" ht="15.75">
      <c r="B2" s="59" t="s">
        <v>65</v>
      </c>
    </row>
    <row r="5" spans="2:3" ht="15.75">
      <c r="B5" s="56" t="s">
        <v>13</v>
      </c>
      <c r="C5" s="56">
        <v>2010</v>
      </c>
    </row>
    <row r="6" spans="2:3" ht="15.75">
      <c r="B6" s="56"/>
      <c r="C6" s="56"/>
    </row>
    <row r="7" spans="2:3" ht="15.75">
      <c r="B7" s="56" t="s">
        <v>14</v>
      </c>
      <c r="C7" s="58">
        <v>0.25</v>
      </c>
    </row>
    <row r="8" spans="2:3" ht="15.75">
      <c r="B8" s="56"/>
      <c r="C8" s="56"/>
    </row>
    <row r="9" spans="2:3" ht="15.75">
      <c r="B9" s="56" t="s">
        <v>63</v>
      </c>
      <c r="C9" s="58">
        <v>0.02</v>
      </c>
    </row>
    <row r="10" spans="2:3" ht="15.75">
      <c r="B10" s="56"/>
      <c r="C10" s="56"/>
    </row>
    <row r="11" spans="2:3" ht="15.75">
      <c r="B11" s="56" t="s">
        <v>64</v>
      </c>
      <c r="C11" s="58">
        <v>0.02</v>
      </c>
    </row>
    <row r="12" spans="2:3" ht="15.75">
      <c r="B12" s="56"/>
      <c r="C12" s="56"/>
    </row>
    <row r="13" spans="2:4" ht="15.75">
      <c r="B13" s="56" t="s">
        <v>66</v>
      </c>
      <c r="C13" s="58">
        <f>+C9-C11</f>
        <v>0</v>
      </c>
      <c r="D13" s="57" t="s">
        <v>50</v>
      </c>
    </row>
    <row r="14" spans="2:3" ht="15.75">
      <c r="B14" s="56"/>
      <c r="C14" s="56"/>
    </row>
    <row r="15" spans="2:3" ht="15.75">
      <c r="B15" s="56" t="s">
        <v>33</v>
      </c>
      <c r="C15" s="56">
        <v>5</v>
      </c>
    </row>
    <row r="16" spans="2:3" ht="15.75">
      <c r="B16" s="56"/>
      <c r="C16" s="56"/>
    </row>
    <row r="17" spans="2:3" ht="15.75">
      <c r="B17" s="56"/>
      <c r="C17" s="56"/>
    </row>
    <row r="32" ht="15.75">
      <c r="C32" s="1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AS61"/>
  <sheetViews>
    <sheetView showGridLines="0" zoomScale="130" zoomScaleNormal="130" zoomScalePageLayoutView="0" workbookViewId="0" topLeftCell="A1">
      <pane xSplit="4" ySplit="3" topLeftCell="E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T21" sqref="T21"/>
    </sheetView>
  </sheetViews>
  <sheetFormatPr defaultColWidth="11.421875" defaultRowHeight="12.75"/>
  <cols>
    <col min="1" max="1" width="2.7109375" style="1" customWidth="1"/>
    <col min="2" max="2" width="2.8515625" style="1" customWidth="1"/>
    <col min="3" max="3" width="42.421875" style="1" customWidth="1"/>
    <col min="4" max="4" width="0.85546875" style="1" customWidth="1"/>
    <col min="5" max="5" width="13.7109375" style="1" bestFit="1" customWidth="1"/>
    <col min="6" max="6" width="8.7109375" style="1" bestFit="1" customWidth="1"/>
    <col min="7" max="7" width="0.85546875" style="39" customWidth="1"/>
    <col min="8" max="8" width="14.00390625" style="1" bestFit="1" customWidth="1"/>
    <col min="9" max="9" width="9.140625" style="1" bestFit="1" customWidth="1"/>
    <col min="10" max="10" width="0.85546875" style="39" customWidth="1"/>
    <col min="11" max="11" width="14.00390625" style="1" bestFit="1" customWidth="1"/>
    <col min="12" max="12" width="9.140625" style="1" bestFit="1" customWidth="1"/>
    <col min="13" max="13" width="0.85546875" style="1" customWidth="1"/>
    <col min="14" max="14" width="14.00390625" style="1" bestFit="1" customWidth="1"/>
    <col min="15" max="15" width="8.7109375" style="1" bestFit="1" customWidth="1"/>
    <col min="16" max="16" width="0.85546875" style="1" customWidth="1"/>
    <col min="17" max="17" width="13.421875" style="1" bestFit="1" customWidth="1"/>
    <col min="18" max="18" width="7.140625" style="1" bestFit="1" customWidth="1"/>
    <col min="19" max="19" width="0.85546875" style="39" customWidth="1"/>
    <col min="20" max="20" width="18.00390625" style="1" customWidth="1"/>
    <col min="21" max="21" width="5.421875" style="1" customWidth="1"/>
    <col min="22" max="22" width="0.85546875" style="39" customWidth="1"/>
    <col min="23" max="23" width="11.57421875" style="1" bestFit="1" customWidth="1"/>
    <col min="24" max="24" width="5.421875" style="1" customWidth="1"/>
    <col min="25" max="25" width="0.85546875" style="39" customWidth="1"/>
    <col min="26" max="26" width="11.57421875" style="1" bestFit="1" customWidth="1"/>
    <col min="27" max="27" width="5.421875" style="1" customWidth="1"/>
    <col min="28" max="28" width="0.85546875" style="39" customWidth="1"/>
    <col min="29" max="29" width="11.8515625" style="1" customWidth="1"/>
    <col min="30" max="30" width="5.421875" style="1" customWidth="1"/>
    <col min="31" max="31" width="0.85546875" style="1" customWidth="1"/>
    <col min="32" max="32" width="12.140625" style="1" customWidth="1"/>
    <col min="33" max="33" width="5.421875" style="1" customWidth="1"/>
    <col min="34" max="34" width="0.85546875" style="1" customWidth="1"/>
    <col min="35" max="35" width="12.140625" style="1" customWidth="1"/>
    <col min="36" max="36" width="5.421875" style="1" customWidth="1"/>
    <col min="37" max="37" width="0.85546875" style="1" customWidth="1"/>
    <col min="38" max="38" width="11.8515625" style="1" customWidth="1"/>
    <col min="39" max="39" width="5.421875" style="1" customWidth="1"/>
    <col min="40" max="40" width="0.85546875" style="1" customWidth="1"/>
    <col min="41" max="41" width="12.00390625" style="1" customWidth="1"/>
    <col min="42" max="42" width="5.421875" style="1" customWidth="1"/>
    <col min="43" max="43" width="0.85546875" style="1" customWidth="1"/>
    <col min="44" max="44" width="12.421875" style="1" customWidth="1"/>
    <col min="45" max="45" width="5.421875" style="1" customWidth="1"/>
    <col min="46" max="46" width="11.7109375" style="1" bestFit="1" customWidth="1"/>
    <col min="47" max="47" width="5.421875" style="1" customWidth="1"/>
    <col min="48" max="16384" width="11.421875" style="1" customWidth="1"/>
  </cols>
  <sheetData>
    <row r="2" ht="12.75">
      <c r="B2" s="2" t="s">
        <v>94</v>
      </c>
    </row>
    <row r="3" spans="5:45" ht="12.75">
      <c r="E3" s="171" t="s">
        <v>101</v>
      </c>
      <c r="F3" s="171"/>
      <c r="G3" s="171"/>
      <c r="H3" s="171"/>
      <c r="I3" s="171"/>
      <c r="J3" s="171"/>
      <c r="K3" s="171"/>
      <c r="L3" s="171"/>
      <c r="N3" s="171"/>
      <c r="O3" s="171"/>
      <c r="Q3" s="171" t="s">
        <v>102</v>
      </c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5:45" ht="12.75">
      <c r="E4" s="33"/>
      <c r="F4" s="33"/>
      <c r="G4" s="33"/>
      <c r="H4" s="33"/>
      <c r="I4" s="33"/>
      <c r="J4" s="33"/>
      <c r="K4" s="33"/>
      <c r="L4" s="33"/>
      <c r="N4" s="33"/>
      <c r="O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2:45" ht="13.5" thickBot="1">
      <c r="B5" s="3" t="s">
        <v>103</v>
      </c>
      <c r="C5" s="4"/>
      <c r="E5" s="170">
        <f>+E16</f>
        <v>2007</v>
      </c>
      <c r="F5" s="170"/>
      <c r="H5" s="170">
        <f>+H16</f>
        <v>2008</v>
      </c>
      <c r="I5" s="170"/>
      <c r="K5" s="170">
        <f>+K16</f>
        <v>2009</v>
      </c>
      <c r="L5" s="170"/>
      <c r="N5" s="170">
        <f>+N16</f>
        <v>2010</v>
      </c>
      <c r="O5" s="170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5:45" ht="13.5" thickTop="1">
      <c r="E6" s="29" t="str">
        <f>+IF(E7&lt;&gt;E11,"A ≠ PN+P"," - ")</f>
        <v> - </v>
      </c>
      <c r="H6" s="29" t="str">
        <f>+IF(H7&lt;&gt;H11,"A ≠ PN+P"," - ")</f>
        <v> - </v>
      </c>
      <c r="K6" s="29" t="str">
        <f>+IF(K7&lt;&gt;K11,"A ≠ PN+P"," - ")</f>
        <v> - </v>
      </c>
      <c r="N6" s="29" t="str">
        <f>+IF(N7&lt;&gt;N11,"A ≠ PN+P"," - ")</f>
        <v> - 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2:45" ht="12.75">
      <c r="B7" s="31" t="s">
        <v>36</v>
      </c>
      <c r="C7" s="31"/>
      <c r="D7" s="2"/>
      <c r="E7" s="32">
        <f>+SUM(E8:E9)</f>
        <v>751396</v>
      </c>
      <c r="F7" s="32"/>
      <c r="G7" s="40"/>
      <c r="H7" s="32">
        <f>+SUM(H8:H9)</f>
        <v>743398</v>
      </c>
      <c r="I7" s="32"/>
      <c r="J7" s="40"/>
      <c r="K7" s="32">
        <f>+SUM(K8:K9)</f>
        <v>764390</v>
      </c>
      <c r="L7" s="32"/>
      <c r="M7" s="30"/>
      <c r="N7" s="32">
        <f>+SUM(N8:N9)</f>
        <v>745578</v>
      </c>
      <c r="O7" s="3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3:45" ht="12.75">
      <c r="C8" s="1" t="s">
        <v>37</v>
      </c>
      <c r="E8" s="28">
        <v>227610</v>
      </c>
      <c r="F8" s="28"/>
      <c r="G8" s="41"/>
      <c r="H8" s="28">
        <v>216276</v>
      </c>
      <c r="I8" s="28"/>
      <c r="J8" s="41"/>
      <c r="K8" s="28">
        <v>270151</v>
      </c>
      <c r="L8" s="28"/>
      <c r="M8" s="28"/>
      <c r="N8" s="28">
        <f>223300+35000</f>
        <v>258300</v>
      </c>
      <c r="O8" s="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3:45" ht="12.75">
      <c r="C9" s="1" t="s">
        <v>38</v>
      </c>
      <c r="E9" s="28">
        <v>523786</v>
      </c>
      <c r="F9" s="28"/>
      <c r="G9" s="41"/>
      <c r="H9" s="28">
        <v>527122</v>
      </c>
      <c r="I9" s="28"/>
      <c r="J9" s="41"/>
      <c r="K9" s="28">
        <v>494239</v>
      </c>
      <c r="L9" s="28"/>
      <c r="M9" s="28"/>
      <c r="N9" s="28">
        <f>452500+34778</f>
        <v>487278</v>
      </c>
      <c r="O9" s="2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</row>
    <row r="10" spans="5:45" ht="12.75">
      <c r="E10" s="28"/>
      <c r="F10" s="28"/>
      <c r="G10" s="41"/>
      <c r="H10" s="28"/>
      <c r="I10" s="28"/>
      <c r="J10" s="41"/>
      <c r="K10" s="28"/>
      <c r="L10" s="28"/>
      <c r="M10" s="28"/>
      <c r="N10" s="28"/>
      <c r="O10" s="28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2:45" ht="12.75">
      <c r="B11" s="31" t="s">
        <v>39</v>
      </c>
      <c r="C11" s="31"/>
      <c r="D11" s="2"/>
      <c r="E11" s="32">
        <f>+SUM(E12:E14)</f>
        <v>751396</v>
      </c>
      <c r="F11" s="32"/>
      <c r="G11" s="40"/>
      <c r="H11" s="32">
        <f>+SUM(H12:H14)</f>
        <v>743398</v>
      </c>
      <c r="I11" s="32"/>
      <c r="J11" s="40"/>
      <c r="K11" s="32">
        <f>+SUM(K12:K14)</f>
        <v>764390</v>
      </c>
      <c r="L11" s="32"/>
      <c r="M11" s="30"/>
      <c r="N11" s="32">
        <f>+SUM(N12:N14)</f>
        <v>745578</v>
      </c>
      <c r="O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3:45" ht="12.75">
      <c r="C12" s="1" t="s">
        <v>40</v>
      </c>
      <c r="E12" s="28">
        <v>447001</v>
      </c>
      <c r="F12" s="28"/>
      <c r="G12" s="41"/>
      <c r="H12" s="28">
        <v>488869</v>
      </c>
      <c r="I12" s="28"/>
      <c r="J12" s="41"/>
      <c r="K12" s="28">
        <v>542397</v>
      </c>
      <c r="L12" s="28"/>
      <c r="M12" s="28"/>
      <c r="N12" s="28">
        <f>+K12+K37</f>
        <v>598087</v>
      </c>
      <c r="O12" s="28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</row>
    <row r="13" spans="3:45" ht="12.75">
      <c r="C13" s="1" t="s">
        <v>41</v>
      </c>
      <c r="E13" s="28">
        <v>160917</v>
      </c>
      <c r="F13" s="28"/>
      <c r="G13" s="41"/>
      <c r="H13" s="28">
        <v>146841</v>
      </c>
      <c r="I13" s="28"/>
      <c r="J13" s="41"/>
      <c r="K13" s="28">
        <v>132308</v>
      </c>
      <c r="L13" s="28"/>
      <c r="M13" s="28"/>
      <c r="N13" s="28">
        <v>111531</v>
      </c>
      <c r="O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</row>
    <row r="14" spans="3:45" ht="12.75">
      <c r="C14" s="1" t="s">
        <v>42</v>
      </c>
      <c r="E14" s="28">
        <v>143478</v>
      </c>
      <c r="F14" s="28"/>
      <c r="G14" s="41"/>
      <c r="H14" s="28">
        <f>107607+81</f>
        <v>107688</v>
      </c>
      <c r="I14" s="28"/>
      <c r="J14" s="41"/>
      <c r="K14" s="28">
        <v>89685</v>
      </c>
      <c r="L14" s="28"/>
      <c r="M14" s="28"/>
      <c r="N14" s="28">
        <v>35960</v>
      </c>
      <c r="O14" s="28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9:28" ht="12.75">
      <c r="S15" s="1"/>
      <c r="V15" s="1"/>
      <c r="Y15" s="1"/>
      <c r="AB15" s="1"/>
    </row>
    <row r="16" spans="2:45" ht="13.5" thickBot="1">
      <c r="B16" s="3" t="s">
        <v>95</v>
      </c>
      <c r="C16" s="4"/>
      <c r="E16" s="170">
        <f>+H16-1</f>
        <v>2007</v>
      </c>
      <c r="F16" s="170"/>
      <c r="H16" s="170">
        <f>+K16-1</f>
        <v>2008</v>
      </c>
      <c r="I16" s="170"/>
      <c r="K16" s="170">
        <f>+N16-1</f>
        <v>2009</v>
      </c>
      <c r="L16" s="170"/>
      <c r="N16" s="170">
        <f>+Dades!C5</f>
        <v>2010</v>
      </c>
      <c r="O16" s="170"/>
      <c r="Q16" s="170">
        <f>+N16+1</f>
        <v>2011</v>
      </c>
      <c r="R16" s="170"/>
      <c r="T16" s="170">
        <f>+Q16+1</f>
        <v>2012</v>
      </c>
      <c r="U16" s="170"/>
      <c r="W16" s="170">
        <f>+T16+1</f>
        <v>2013</v>
      </c>
      <c r="X16" s="170"/>
      <c r="Z16" s="170">
        <f>+W16+1</f>
        <v>2014</v>
      </c>
      <c r="AA16" s="170"/>
      <c r="AC16" s="170">
        <f>+Z16+1</f>
        <v>2015</v>
      </c>
      <c r="AD16" s="170"/>
      <c r="AF16" s="169"/>
      <c r="AG16" s="169"/>
      <c r="AH16" s="26"/>
      <c r="AI16" s="169"/>
      <c r="AJ16" s="169"/>
      <c r="AK16" s="26"/>
      <c r="AL16" s="169"/>
      <c r="AM16" s="169"/>
      <c r="AN16" s="26"/>
      <c r="AO16" s="169"/>
      <c r="AP16" s="169"/>
      <c r="AQ16" s="26"/>
      <c r="AR16" s="169"/>
      <c r="AS16" s="169"/>
    </row>
    <row r="17" spans="5:45" ht="9" customHeight="1" thickTop="1">
      <c r="E17" s="14"/>
      <c r="F17" s="15"/>
      <c r="H17" s="14"/>
      <c r="I17" s="15"/>
      <c r="K17" s="14"/>
      <c r="L17" s="15"/>
      <c r="N17" s="14"/>
      <c r="O17" s="15"/>
      <c r="Q17" s="14"/>
      <c r="R17" s="15"/>
      <c r="T17" s="14"/>
      <c r="U17" s="15"/>
      <c r="W17" s="14"/>
      <c r="X17" s="15"/>
      <c r="Z17" s="14"/>
      <c r="AA17" s="15"/>
      <c r="AC17" s="14"/>
      <c r="AD17" s="15"/>
      <c r="AF17" s="54"/>
      <c r="AG17" s="36"/>
      <c r="AH17" s="26"/>
      <c r="AI17" s="54"/>
      <c r="AJ17" s="36"/>
      <c r="AK17" s="26"/>
      <c r="AL17" s="54"/>
      <c r="AM17" s="36"/>
      <c r="AN17" s="26"/>
      <c r="AO17" s="54"/>
      <c r="AP17" s="36"/>
      <c r="AQ17" s="26"/>
      <c r="AR17" s="54"/>
      <c r="AS17" s="36"/>
    </row>
    <row r="18" spans="2:45" ht="12.75">
      <c r="B18" s="5" t="s">
        <v>67</v>
      </c>
      <c r="C18" s="6"/>
      <c r="E18" s="42">
        <v>997488</v>
      </c>
      <c r="F18" s="43"/>
      <c r="G18" s="26"/>
      <c r="H18" s="42">
        <v>958442</v>
      </c>
      <c r="I18" s="43"/>
      <c r="J18" s="26"/>
      <c r="K18" s="42">
        <v>1136775</v>
      </c>
      <c r="L18" s="43"/>
      <c r="N18" s="22">
        <v>1153824</v>
      </c>
      <c r="O18" s="23"/>
      <c r="Q18" s="48">
        <f aca="true" t="shared" si="0" ref="Q18:Q24">+N18*(1+R18)</f>
        <v>1246129.9200000002</v>
      </c>
      <c r="R18" s="49">
        <v>0.08</v>
      </c>
      <c r="S18" s="26"/>
      <c r="T18" s="48">
        <f aca="true" t="shared" si="1" ref="T18:T24">+Q18*(1+U18)</f>
        <v>1320897.7152000002</v>
      </c>
      <c r="U18" s="49">
        <v>0.06</v>
      </c>
      <c r="V18" s="26"/>
      <c r="W18" s="48">
        <f aca="true" t="shared" si="2" ref="W18:W24">+T18*(1+X18)</f>
        <v>1373733.6238080002</v>
      </c>
      <c r="X18" s="49">
        <v>0.04</v>
      </c>
      <c r="Y18" s="26"/>
      <c r="Z18" s="48">
        <f aca="true" t="shared" si="3" ref="Z18:Z24">+W18*(1+AA18)</f>
        <v>1414945.6325222403</v>
      </c>
      <c r="AA18" s="49">
        <v>0.03</v>
      </c>
      <c r="AB18" s="26"/>
      <c r="AC18" s="48">
        <f aca="true" t="shared" si="4" ref="AC18:AC24">+Z18*(1+AD18)</f>
        <v>1443244.545172685</v>
      </c>
      <c r="AD18" s="49">
        <v>0.02</v>
      </c>
      <c r="AF18" s="34"/>
      <c r="AG18" s="35"/>
      <c r="AH18" s="26"/>
      <c r="AI18" s="34"/>
      <c r="AJ18" s="35"/>
      <c r="AK18" s="26"/>
      <c r="AL18" s="34"/>
      <c r="AM18" s="35"/>
      <c r="AN18" s="26"/>
      <c r="AO18" s="34"/>
      <c r="AP18" s="35"/>
      <c r="AQ18" s="26"/>
      <c r="AR18" s="34"/>
      <c r="AS18" s="35"/>
    </row>
    <row r="19" spans="2:45" ht="12.75">
      <c r="B19" s="5" t="s">
        <v>0</v>
      </c>
      <c r="C19" s="6"/>
      <c r="E19" s="44">
        <v>-671403</v>
      </c>
      <c r="F19" s="45">
        <f>-E19/E18</f>
        <v>0.673093811654877</v>
      </c>
      <c r="G19" s="26"/>
      <c r="H19" s="44">
        <v>-666626</v>
      </c>
      <c r="I19" s="45">
        <f>-H19/H18</f>
        <v>0.6955308719776471</v>
      </c>
      <c r="J19" s="26"/>
      <c r="K19" s="44">
        <v>-826283</v>
      </c>
      <c r="L19" s="45">
        <f>-K19/K18</f>
        <v>0.7268659145389369</v>
      </c>
      <c r="N19" s="22">
        <v>-875842</v>
      </c>
      <c r="O19" s="23">
        <f>-N19/N18</f>
        <v>0.7590776409573731</v>
      </c>
      <c r="Q19" s="50">
        <f t="shared" si="0"/>
        <v>-910875.68</v>
      </c>
      <c r="R19" s="51">
        <v>0.04</v>
      </c>
      <c r="S19" s="26"/>
      <c r="T19" s="50">
        <f t="shared" si="1"/>
        <v>-938201.9504000001</v>
      </c>
      <c r="U19" s="51">
        <v>0.03</v>
      </c>
      <c r="V19" s="26"/>
      <c r="W19" s="50">
        <f t="shared" si="2"/>
        <v>-956965.9894080001</v>
      </c>
      <c r="X19" s="51">
        <v>0.02</v>
      </c>
      <c r="Y19" s="26"/>
      <c r="Z19" s="50">
        <f t="shared" si="3"/>
        <v>-976105.3091961602</v>
      </c>
      <c r="AA19" s="51">
        <v>0.02</v>
      </c>
      <c r="AB19" s="26"/>
      <c r="AC19" s="50">
        <f t="shared" si="4"/>
        <v>-985866.3622881218</v>
      </c>
      <c r="AD19" s="51">
        <v>0.01</v>
      </c>
      <c r="AF19" s="34"/>
      <c r="AG19" s="35"/>
      <c r="AH19" s="26"/>
      <c r="AI19" s="34"/>
      <c r="AJ19" s="35"/>
      <c r="AK19" s="26"/>
      <c r="AL19" s="34"/>
      <c r="AM19" s="35"/>
      <c r="AN19" s="26"/>
      <c r="AO19" s="34"/>
      <c r="AP19" s="35"/>
      <c r="AQ19" s="26"/>
      <c r="AR19" s="34"/>
      <c r="AS19" s="35"/>
    </row>
    <row r="20" spans="2:45" ht="12.75">
      <c r="B20" s="5" t="s">
        <v>1</v>
      </c>
      <c r="C20" s="6"/>
      <c r="E20" s="44">
        <v>0</v>
      </c>
      <c r="F20" s="45"/>
      <c r="G20" s="26"/>
      <c r="H20" s="44">
        <v>0</v>
      </c>
      <c r="I20" s="45"/>
      <c r="J20" s="26"/>
      <c r="K20" s="44">
        <v>0</v>
      </c>
      <c r="L20" s="45"/>
      <c r="N20" s="22">
        <v>0</v>
      </c>
      <c r="O20" s="23"/>
      <c r="Q20" s="50">
        <f t="shared" si="0"/>
        <v>0</v>
      </c>
      <c r="R20" s="51">
        <v>0.01</v>
      </c>
      <c r="S20" s="26"/>
      <c r="T20" s="50">
        <f t="shared" si="1"/>
        <v>0</v>
      </c>
      <c r="U20" s="51">
        <v>0.01</v>
      </c>
      <c r="V20" s="26"/>
      <c r="W20" s="50">
        <f t="shared" si="2"/>
        <v>0</v>
      </c>
      <c r="X20" s="51">
        <v>0.01</v>
      </c>
      <c r="Y20" s="26"/>
      <c r="Z20" s="50">
        <f t="shared" si="3"/>
        <v>0</v>
      </c>
      <c r="AA20" s="51">
        <v>0.01</v>
      </c>
      <c r="AB20" s="26"/>
      <c r="AC20" s="50">
        <f t="shared" si="4"/>
        <v>0</v>
      </c>
      <c r="AD20" s="51">
        <v>0.01</v>
      </c>
      <c r="AF20" s="34"/>
      <c r="AG20" s="35"/>
      <c r="AH20" s="26"/>
      <c r="AI20" s="34"/>
      <c r="AJ20" s="35"/>
      <c r="AK20" s="26"/>
      <c r="AL20" s="34"/>
      <c r="AM20" s="35"/>
      <c r="AN20" s="26"/>
      <c r="AO20" s="34"/>
      <c r="AP20" s="35"/>
      <c r="AQ20" s="26"/>
      <c r="AR20" s="34"/>
      <c r="AS20" s="35"/>
    </row>
    <row r="21" spans="2:45" ht="12.75">
      <c r="B21" s="5" t="s">
        <v>2</v>
      </c>
      <c r="C21" s="6"/>
      <c r="E21" s="44">
        <v>-145811</v>
      </c>
      <c r="F21" s="45"/>
      <c r="G21" s="26"/>
      <c r="H21" s="44">
        <v>-131443</v>
      </c>
      <c r="I21" s="45"/>
      <c r="J21" s="26"/>
      <c r="K21" s="44">
        <v>-146242</v>
      </c>
      <c r="L21" s="45"/>
      <c r="N21" s="22">
        <v>-193950</v>
      </c>
      <c r="O21" s="23"/>
      <c r="Q21" s="50">
        <f t="shared" si="0"/>
        <v>-199768.5</v>
      </c>
      <c r="R21" s="51">
        <v>0.03</v>
      </c>
      <c r="S21" s="26"/>
      <c r="T21" s="50">
        <f t="shared" si="1"/>
        <v>-203763.87</v>
      </c>
      <c r="U21" s="51">
        <v>0.02</v>
      </c>
      <c r="V21" s="26"/>
      <c r="W21" s="50">
        <f t="shared" si="2"/>
        <v>-207839.1474</v>
      </c>
      <c r="X21" s="51">
        <v>0.02</v>
      </c>
      <c r="Y21" s="26"/>
      <c r="Z21" s="50">
        <f t="shared" si="3"/>
        <v>-211995.930348</v>
      </c>
      <c r="AA21" s="51">
        <v>0.02</v>
      </c>
      <c r="AB21" s="26"/>
      <c r="AC21" s="50">
        <f t="shared" si="4"/>
        <v>-216235.84895496</v>
      </c>
      <c r="AD21" s="51">
        <v>0.02</v>
      </c>
      <c r="AF21" s="34"/>
      <c r="AG21" s="35"/>
      <c r="AH21" s="26"/>
      <c r="AI21" s="34"/>
      <c r="AJ21" s="35"/>
      <c r="AK21" s="26"/>
      <c r="AL21" s="34"/>
      <c r="AM21" s="35"/>
      <c r="AN21" s="26"/>
      <c r="AO21" s="34"/>
      <c r="AP21" s="35"/>
      <c r="AQ21" s="26"/>
      <c r="AR21" s="34"/>
      <c r="AS21" s="35"/>
    </row>
    <row r="22" spans="2:45" ht="12.75">
      <c r="B22" s="5" t="s">
        <v>3</v>
      </c>
      <c r="C22" s="6"/>
      <c r="E22" s="44">
        <v>-83594</v>
      </c>
      <c r="F22" s="45"/>
      <c r="G22" s="26"/>
      <c r="H22" s="44">
        <v>-84795</v>
      </c>
      <c r="I22" s="45"/>
      <c r="J22" s="26"/>
      <c r="K22" s="44">
        <v>-78625</v>
      </c>
      <c r="L22" s="45"/>
      <c r="N22" s="22">
        <v>-67100</v>
      </c>
      <c r="O22" s="23"/>
      <c r="Q22" s="50">
        <f t="shared" si="0"/>
        <v>-67771</v>
      </c>
      <c r="R22" s="51">
        <v>0.01</v>
      </c>
      <c r="S22" s="26"/>
      <c r="T22" s="50">
        <f t="shared" si="1"/>
        <v>-68448.71</v>
      </c>
      <c r="U22" s="51">
        <v>0.01</v>
      </c>
      <c r="V22" s="26"/>
      <c r="W22" s="50">
        <f t="shared" si="2"/>
        <v>-69133.1971</v>
      </c>
      <c r="X22" s="51">
        <v>0.01</v>
      </c>
      <c r="Y22" s="26"/>
      <c r="Z22" s="50">
        <f t="shared" si="3"/>
        <v>-69824.52907100001</v>
      </c>
      <c r="AA22" s="51">
        <v>0.01</v>
      </c>
      <c r="AB22" s="26"/>
      <c r="AC22" s="50">
        <f t="shared" si="4"/>
        <v>-70522.77436171</v>
      </c>
      <c r="AD22" s="51">
        <v>0.01</v>
      </c>
      <c r="AF22" s="34"/>
      <c r="AG22" s="35"/>
      <c r="AH22" s="26"/>
      <c r="AI22" s="34"/>
      <c r="AJ22" s="35"/>
      <c r="AK22" s="26"/>
      <c r="AL22" s="34"/>
      <c r="AM22" s="35"/>
      <c r="AN22" s="26"/>
      <c r="AO22" s="34"/>
      <c r="AP22" s="35"/>
      <c r="AQ22" s="26"/>
      <c r="AR22" s="34"/>
      <c r="AS22" s="35"/>
    </row>
    <row r="23" spans="2:45" ht="12.75">
      <c r="B23" s="5" t="s">
        <v>4</v>
      </c>
      <c r="C23" s="6"/>
      <c r="E23" s="44">
        <v>-19734</v>
      </c>
      <c r="F23" s="45"/>
      <c r="G23" s="26"/>
      <c r="H23" s="44">
        <v>-11334</v>
      </c>
      <c r="I23" s="45"/>
      <c r="J23" s="26"/>
      <c r="K23" s="44">
        <v>-16590</v>
      </c>
      <c r="L23" s="45"/>
      <c r="N23" s="22">
        <v>-20468</v>
      </c>
      <c r="O23" s="23"/>
      <c r="Q23" s="50">
        <f t="shared" si="0"/>
        <v>-36842.4</v>
      </c>
      <c r="R23" s="51">
        <v>0.8</v>
      </c>
      <c r="S23" s="26"/>
      <c r="T23" s="50">
        <f t="shared" si="1"/>
        <v>-36842.4</v>
      </c>
      <c r="U23" s="51">
        <v>0</v>
      </c>
      <c r="V23" s="26"/>
      <c r="W23" s="50">
        <f t="shared" si="2"/>
        <v>-36842.4</v>
      </c>
      <c r="X23" s="51">
        <v>0</v>
      </c>
      <c r="Y23" s="26"/>
      <c r="Z23" s="50">
        <f t="shared" si="3"/>
        <v>-36842.4</v>
      </c>
      <c r="AA23" s="51">
        <v>0</v>
      </c>
      <c r="AB23" s="26"/>
      <c r="AC23" s="50">
        <f t="shared" si="4"/>
        <v>-36842.4</v>
      </c>
      <c r="AD23" s="51">
        <v>0</v>
      </c>
      <c r="AF23" s="34"/>
      <c r="AG23" s="35"/>
      <c r="AH23" s="26"/>
      <c r="AI23" s="34"/>
      <c r="AJ23" s="35"/>
      <c r="AK23" s="26"/>
      <c r="AL23" s="34"/>
      <c r="AM23" s="35"/>
      <c r="AN23" s="26"/>
      <c r="AO23" s="34"/>
      <c r="AP23" s="35"/>
      <c r="AQ23" s="26"/>
      <c r="AR23" s="34"/>
      <c r="AS23" s="35"/>
    </row>
    <row r="24" spans="2:45" ht="12.75">
      <c r="B24" s="20" t="s">
        <v>68</v>
      </c>
      <c r="C24" s="21"/>
      <c r="E24" s="44">
        <v>-860</v>
      </c>
      <c r="F24" s="45"/>
      <c r="G24" s="26"/>
      <c r="H24" s="44">
        <v>-1836</v>
      </c>
      <c r="I24" s="45"/>
      <c r="J24" s="26"/>
      <c r="K24" s="44">
        <v>-1200</v>
      </c>
      <c r="L24" s="45"/>
      <c r="N24" s="46">
        <v>-2536</v>
      </c>
      <c r="O24" s="47"/>
      <c r="Q24" s="50">
        <f t="shared" si="0"/>
        <v>-2561.36</v>
      </c>
      <c r="R24" s="51">
        <v>0.01</v>
      </c>
      <c r="S24" s="26"/>
      <c r="T24" s="50">
        <f t="shared" si="1"/>
        <v>-2586.9736000000003</v>
      </c>
      <c r="U24" s="51">
        <v>0.01</v>
      </c>
      <c r="V24" s="26"/>
      <c r="W24" s="50">
        <f t="shared" si="2"/>
        <v>-2612.8433360000004</v>
      </c>
      <c r="X24" s="51">
        <v>0.01</v>
      </c>
      <c r="Y24" s="26"/>
      <c r="Z24" s="50">
        <f t="shared" si="3"/>
        <v>-2638.9717693600005</v>
      </c>
      <c r="AA24" s="51">
        <v>0.01</v>
      </c>
      <c r="AB24" s="26"/>
      <c r="AC24" s="50">
        <f t="shared" si="4"/>
        <v>-2665.3614870536007</v>
      </c>
      <c r="AD24" s="51">
        <v>0.01</v>
      </c>
      <c r="AF24" s="34"/>
      <c r="AG24" s="35"/>
      <c r="AH24" s="26"/>
      <c r="AI24" s="34"/>
      <c r="AJ24" s="35"/>
      <c r="AK24" s="26"/>
      <c r="AL24" s="34"/>
      <c r="AM24" s="35"/>
      <c r="AN24" s="26"/>
      <c r="AO24" s="34"/>
      <c r="AP24" s="35"/>
      <c r="AQ24" s="26"/>
      <c r="AR24" s="34"/>
      <c r="AS24" s="35"/>
    </row>
    <row r="25" spans="5:45" ht="9" customHeight="1">
      <c r="E25" s="16"/>
      <c r="H25" s="16"/>
      <c r="K25" s="16"/>
      <c r="N25" s="16"/>
      <c r="Q25" s="16"/>
      <c r="T25" s="16"/>
      <c r="W25" s="16"/>
      <c r="Z25" s="16"/>
      <c r="AC25" s="16"/>
      <c r="AF25" s="55"/>
      <c r="AG25" s="26"/>
      <c r="AH25" s="26"/>
      <c r="AI25" s="55"/>
      <c r="AJ25" s="26"/>
      <c r="AK25" s="26"/>
      <c r="AL25" s="55"/>
      <c r="AM25" s="26"/>
      <c r="AN25" s="26"/>
      <c r="AO25" s="55"/>
      <c r="AP25" s="26"/>
      <c r="AQ25" s="26"/>
      <c r="AR25" s="55"/>
      <c r="AS25" s="26"/>
    </row>
    <row r="26" spans="2:45" ht="13.5" thickBot="1">
      <c r="B26" s="7" t="s">
        <v>96</v>
      </c>
      <c r="C26" s="8"/>
      <c r="E26" s="10">
        <f>+SUM(E18:E24)</f>
        <v>76086</v>
      </c>
      <c r="F26" s="17"/>
      <c r="H26" s="10">
        <f>+SUM(H18:H24)</f>
        <v>62408</v>
      </c>
      <c r="I26" s="17"/>
      <c r="K26" s="10">
        <f>+SUM(K18:K24)</f>
        <v>67835</v>
      </c>
      <c r="L26" s="17"/>
      <c r="N26" s="10">
        <f>+SUM(N18:N24)</f>
        <v>-6072</v>
      </c>
      <c r="O26" s="17"/>
      <c r="Q26" s="10">
        <f>+SUM(Q18:Q24)</f>
        <v>28310.980000000105</v>
      </c>
      <c r="R26" s="17"/>
      <c r="T26" s="10">
        <f>+SUM(T18:T24)</f>
        <v>71053.81120000011</v>
      </c>
      <c r="U26" s="17"/>
      <c r="W26" s="10">
        <f>+SUM(W18:W24)</f>
        <v>100340.04656400009</v>
      </c>
      <c r="X26" s="17"/>
      <c r="Z26" s="10">
        <f>+SUM(Z18:Z24)</f>
        <v>117538.4921377201</v>
      </c>
      <c r="AA26" s="17"/>
      <c r="AC26" s="10">
        <f>+SUM(AC18:AC24)</f>
        <v>131111.79808083962</v>
      </c>
      <c r="AD26" s="17"/>
      <c r="AF26" s="24"/>
      <c r="AG26" s="36"/>
      <c r="AH26" s="26"/>
      <c r="AI26" s="24"/>
      <c r="AJ26" s="36"/>
      <c r="AK26" s="26"/>
      <c r="AL26" s="24"/>
      <c r="AM26" s="36"/>
      <c r="AN26" s="26"/>
      <c r="AO26" s="24"/>
      <c r="AP26" s="36"/>
      <c r="AQ26" s="26"/>
      <c r="AR26" s="24"/>
      <c r="AS26" s="36"/>
    </row>
    <row r="27" spans="5:45" ht="9" customHeight="1" thickTop="1">
      <c r="E27" s="16"/>
      <c r="H27" s="16"/>
      <c r="K27" s="16"/>
      <c r="N27" s="16"/>
      <c r="Q27" s="16"/>
      <c r="T27" s="16"/>
      <c r="W27" s="16"/>
      <c r="Z27" s="16"/>
      <c r="AC27" s="16"/>
      <c r="AF27" s="55"/>
      <c r="AG27" s="26"/>
      <c r="AH27" s="26"/>
      <c r="AI27" s="55"/>
      <c r="AJ27" s="26"/>
      <c r="AK27" s="26"/>
      <c r="AL27" s="55"/>
      <c r="AM27" s="26"/>
      <c r="AN27" s="26"/>
      <c r="AO27" s="55"/>
      <c r="AP27" s="26"/>
      <c r="AQ27" s="26"/>
      <c r="AR27" s="55"/>
      <c r="AS27" s="26"/>
    </row>
    <row r="28" spans="2:45" ht="12.75">
      <c r="B28" s="5" t="s">
        <v>5</v>
      </c>
      <c r="C28" s="6"/>
      <c r="E28" s="37">
        <v>1384</v>
      </c>
      <c r="F28" s="43"/>
      <c r="G28" s="26"/>
      <c r="H28" s="42">
        <v>3013</v>
      </c>
      <c r="I28" s="43"/>
      <c r="J28" s="26"/>
      <c r="K28" s="42">
        <v>6400</v>
      </c>
      <c r="L28" s="43"/>
      <c r="N28" s="22">
        <v>482</v>
      </c>
      <c r="O28" s="22"/>
      <c r="Q28" s="48">
        <f>+N28*(1+R28)</f>
        <v>486.82</v>
      </c>
      <c r="R28" s="49">
        <v>0.01</v>
      </c>
      <c r="S28" s="26"/>
      <c r="T28" s="48">
        <f>+Q28*(1+U28)</f>
        <v>491.6882</v>
      </c>
      <c r="U28" s="49">
        <v>0.01</v>
      </c>
      <c r="V28" s="26"/>
      <c r="W28" s="48">
        <f>+T28*(1+X28)</f>
        <v>496.605082</v>
      </c>
      <c r="X28" s="49">
        <v>0.01</v>
      </c>
      <c r="Y28" s="26"/>
      <c r="Z28" s="48">
        <f>+W28*(1+AA28)</f>
        <v>501.57113282</v>
      </c>
      <c r="AA28" s="49">
        <v>0.01</v>
      </c>
      <c r="AB28" s="26"/>
      <c r="AC28" s="48">
        <f>+Z28*(1+AD28)</f>
        <v>506.5868441482</v>
      </c>
      <c r="AD28" s="49">
        <v>0.01</v>
      </c>
      <c r="AF28" s="34"/>
      <c r="AG28" s="35"/>
      <c r="AH28" s="26"/>
      <c r="AI28" s="34"/>
      <c r="AJ28" s="35"/>
      <c r="AK28" s="26"/>
      <c r="AL28" s="34"/>
      <c r="AM28" s="35"/>
      <c r="AN28" s="26"/>
      <c r="AO28" s="34"/>
      <c r="AP28" s="35"/>
      <c r="AQ28" s="26"/>
      <c r="AR28" s="34"/>
      <c r="AS28" s="35"/>
    </row>
    <row r="29" spans="2:45" ht="12.75">
      <c r="B29" s="5" t="s">
        <v>6</v>
      </c>
      <c r="C29" s="6"/>
      <c r="E29" s="38">
        <v>-7508</v>
      </c>
      <c r="F29" s="45"/>
      <c r="G29" s="26"/>
      <c r="H29" s="44">
        <v>-8704</v>
      </c>
      <c r="I29" s="45"/>
      <c r="J29" s="26"/>
      <c r="K29" s="44">
        <v>-4624</v>
      </c>
      <c r="L29" s="45"/>
      <c r="N29" s="22">
        <v>-3340</v>
      </c>
      <c r="O29" s="22"/>
      <c r="Q29" s="50">
        <f>+N29*(1+R29)</f>
        <v>-3373.4</v>
      </c>
      <c r="R29" s="51">
        <v>0.01</v>
      </c>
      <c r="S29" s="26"/>
      <c r="T29" s="50">
        <f>+Q29*(1+U29)</f>
        <v>-3407.134</v>
      </c>
      <c r="U29" s="51">
        <v>0.01</v>
      </c>
      <c r="V29" s="26"/>
      <c r="W29" s="50">
        <f>+T29*(1+X29)</f>
        <v>-3441.20534</v>
      </c>
      <c r="X29" s="51">
        <v>0.01</v>
      </c>
      <c r="Y29" s="26"/>
      <c r="Z29" s="50">
        <f>+W29*(1+AA29)</f>
        <v>-3475.6173934</v>
      </c>
      <c r="AA29" s="51">
        <v>0.01</v>
      </c>
      <c r="AB29" s="26"/>
      <c r="AC29" s="50">
        <f>+Z29*(1+AD29)</f>
        <v>-3510.3735673339997</v>
      </c>
      <c r="AD29" s="51">
        <v>0.01</v>
      </c>
      <c r="AF29" s="34"/>
      <c r="AG29" s="35"/>
      <c r="AH29" s="26"/>
      <c r="AI29" s="34"/>
      <c r="AJ29" s="35"/>
      <c r="AK29" s="26"/>
      <c r="AL29" s="34"/>
      <c r="AM29" s="35"/>
      <c r="AN29" s="26"/>
      <c r="AO29" s="34"/>
      <c r="AP29" s="35"/>
      <c r="AQ29" s="26"/>
      <c r="AR29" s="34"/>
      <c r="AS29" s="35"/>
    </row>
    <row r="30" spans="5:45" ht="9" customHeight="1">
      <c r="E30" s="16"/>
      <c r="H30" s="16"/>
      <c r="K30" s="16"/>
      <c r="N30" s="16"/>
      <c r="Q30" s="16"/>
      <c r="T30" s="16"/>
      <c r="W30" s="16"/>
      <c r="Z30" s="16"/>
      <c r="AC30" s="16"/>
      <c r="AF30" s="55"/>
      <c r="AG30" s="26"/>
      <c r="AH30" s="26"/>
      <c r="AI30" s="55"/>
      <c r="AJ30" s="26"/>
      <c r="AK30" s="26"/>
      <c r="AL30" s="55"/>
      <c r="AM30" s="26"/>
      <c r="AN30" s="26"/>
      <c r="AO30" s="55"/>
      <c r="AP30" s="26"/>
      <c r="AQ30" s="26"/>
      <c r="AR30" s="55"/>
      <c r="AS30" s="26"/>
    </row>
    <row r="31" spans="2:45" ht="13.5" thickBot="1">
      <c r="B31" s="7" t="s">
        <v>97</v>
      </c>
      <c r="C31" s="8"/>
      <c r="E31" s="11">
        <f>+SUM(E28:E29)</f>
        <v>-6124</v>
      </c>
      <c r="F31" s="18"/>
      <c r="H31" s="11">
        <f>+SUM(H28:H29)</f>
        <v>-5691</v>
      </c>
      <c r="I31" s="18"/>
      <c r="K31" s="11">
        <f>+SUM(K28:K29)</f>
        <v>1776</v>
      </c>
      <c r="L31" s="18"/>
      <c r="N31" s="11">
        <f>+SUM(N28:N29)</f>
        <v>-2858</v>
      </c>
      <c r="O31" s="18"/>
      <c r="Q31" s="11">
        <f>+SUM(Q28:Q29)</f>
        <v>-2886.58</v>
      </c>
      <c r="R31" s="18"/>
      <c r="T31" s="11">
        <f>+SUM(T28:T29)</f>
        <v>-2915.4458</v>
      </c>
      <c r="U31" s="18"/>
      <c r="W31" s="11">
        <f>+SUM(W28:W29)</f>
        <v>-2944.600258</v>
      </c>
      <c r="X31" s="18"/>
      <c r="Z31" s="11">
        <f>+SUM(Z28:Z29)</f>
        <v>-2974.04626058</v>
      </c>
      <c r="AA31" s="18"/>
      <c r="AC31" s="11">
        <f>+SUM(AC28:AC29)</f>
        <v>-3003.7867231858</v>
      </c>
      <c r="AD31" s="18"/>
      <c r="AF31" s="24"/>
      <c r="AG31" s="36"/>
      <c r="AH31" s="26"/>
      <c r="AI31" s="24"/>
      <c r="AJ31" s="36"/>
      <c r="AK31" s="26"/>
      <c r="AL31" s="24"/>
      <c r="AM31" s="36"/>
      <c r="AN31" s="26"/>
      <c r="AO31" s="24"/>
      <c r="AP31" s="36"/>
      <c r="AQ31" s="26"/>
      <c r="AR31" s="24"/>
      <c r="AS31" s="36"/>
    </row>
    <row r="32" spans="5:45" ht="9" customHeight="1" thickTop="1">
      <c r="E32" s="16"/>
      <c r="H32" s="16"/>
      <c r="K32" s="16"/>
      <c r="N32" s="16"/>
      <c r="Q32" s="16"/>
      <c r="T32" s="16"/>
      <c r="W32" s="16"/>
      <c r="Z32" s="16"/>
      <c r="AC32" s="16"/>
      <c r="AF32" s="55"/>
      <c r="AG32" s="26"/>
      <c r="AH32" s="26"/>
      <c r="AI32" s="55"/>
      <c r="AJ32" s="26"/>
      <c r="AK32" s="26"/>
      <c r="AL32" s="55"/>
      <c r="AM32" s="26"/>
      <c r="AN32" s="26"/>
      <c r="AO32" s="55"/>
      <c r="AP32" s="26"/>
      <c r="AQ32" s="26"/>
      <c r="AR32" s="55"/>
      <c r="AS32" s="26"/>
    </row>
    <row r="33" spans="2:45" ht="13.5" thickBot="1">
      <c r="B33" s="7" t="s">
        <v>98</v>
      </c>
      <c r="C33" s="8"/>
      <c r="E33" s="11">
        <f>+E26+E31</f>
        <v>69962</v>
      </c>
      <c r="F33" s="18"/>
      <c r="H33" s="11">
        <f>+H26+H31</f>
        <v>56717</v>
      </c>
      <c r="I33" s="18"/>
      <c r="K33" s="11">
        <f>+K26+K31</f>
        <v>69611</v>
      </c>
      <c r="L33" s="18"/>
      <c r="N33" s="11">
        <f>+N26+N31</f>
        <v>-8930</v>
      </c>
      <c r="O33" s="18"/>
      <c r="Q33" s="11">
        <f>+Q26+Q31</f>
        <v>25424.400000000103</v>
      </c>
      <c r="R33" s="18"/>
      <c r="T33" s="11">
        <f>+T26+T31</f>
        <v>68138.36540000011</v>
      </c>
      <c r="U33" s="18"/>
      <c r="W33" s="11">
        <f>+W26+W31</f>
        <v>97395.44630600009</v>
      </c>
      <c r="X33" s="18"/>
      <c r="Z33" s="11">
        <f>+Z26+Z31</f>
        <v>114564.4458771401</v>
      </c>
      <c r="AA33" s="18"/>
      <c r="AC33" s="11">
        <f>+AC26+AC31</f>
        <v>128108.01135765383</v>
      </c>
      <c r="AD33" s="18"/>
      <c r="AF33" s="24"/>
      <c r="AG33" s="36"/>
      <c r="AH33" s="26"/>
      <c r="AI33" s="24"/>
      <c r="AJ33" s="36"/>
      <c r="AK33" s="26"/>
      <c r="AL33" s="24"/>
      <c r="AM33" s="36"/>
      <c r="AN33" s="26"/>
      <c r="AO33" s="24"/>
      <c r="AP33" s="36"/>
      <c r="AQ33" s="26"/>
      <c r="AR33" s="24"/>
      <c r="AS33" s="36"/>
    </row>
    <row r="34" spans="5:45" ht="9" customHeight="1" thickTop="1">
      <c r="E34" s="16"/>
      <c r="H34" s="16"/>
      <c r="K34" s="16"/>
      <c r="N34" s="16"/>
      <c r="Q34" s="16"/>
      <c r="T34" s="16"/>
      <c r="W34" s="16"/>
      <c r="Z34" s="16"/>
      <c r="AC34" s="16"/>
      <c r="AF34" s="55"/>
      <c r="AG34" s="26"/>
      <c r="AH34" s="26"/>
      <c r="AI34" s="55"/>
      <c r="AJ34" s="26"/>
      <c r="AK34" s="26"/>
      <c r="AL34" s="55"/>
      <c r="AM34" s="26"/>
      <c r="AN34" s="26"/>
      <c r="AO34" s="55"/>
      <c r="AP34" s="26"/>
      <c r="AQ34" s="26"/>
      <c r="AR34" s="55"/>
      <c r="AS34" s="26"/>
    </row>
    <row r="35" spans="2:45" ht="12.75">
      <c r="B35" s="5" t="s">
        <v>7</v>
      </c>
      <c r="C35" s="6"/>
      <c r="E35" s="42">
        <v>-17434</v>
      </c>
      <c r="F35" s="43"/>
      <c r="G35" s="26"/>
      <c r="H35" s="42">
        <v>-14179</v>
      </c>
      <c r="I35" s="43"/>
      <c r="J35" s="26"/>
      <c r="K35" s="42">
        <v>-13921</v>
      </c>
      <c r="L35" s="43"/>
      <c r="N35" s="46"/>
      <c r="O35" s="46"/>
      <c r="Q35" s="48">
        <f>-Q33*Dades!$C$7</f>
        <v>-6356.100000000026</v>
      </c>
      <c r="R35" s="49"/>
      <c r="S35" s="26"/>
      <c r="T35" s="48">
        <f>-T33*Dades!$C$7</f>
        <v>-17034.591350000028</v>
      </c>
      <c r="U35" s="49"/>
      <c r="V35" s="26"/>
      <c r="W35" s="48">
        <f>-W33*Dades!$C$7</f>
        <v>-24348.86157650002</v>
      </c>
      <c r="X35" s="49"/>
      <c r="Y35" s="26"/>
      <c r="Z35" s="48">
        <f>-Z33*Dades!$C$7</f>
        <v>-28641.111469285024</v>
      </c>
      <c r="AA35" s="49"/>
      <c r="AB35" s="26"/>
      <c r="AC35" s="48">
        <f>-AC33*Dades!$C$7</f>
        <v>-32027.002839413457</v>
      </c>
      <c r="AD35" s="49"/>
      <c r="AF35" s="34"/>
      <c r="AG35" s="35"/>
      <c r="AH35" s="26"/>
      <c r="AI35" s="34"/>
      <c r="AJ35" s="35"/>
      <c r="AK35" s="26"/>
      <c r="AL35" s="34"/>
      <c r="AM35" s="35"/>
      <c r="AN35" s="26"/>
      <c r="AO35" s="34"/>
      <c r="AP35" s="35"/>
      <c r="AQ35" s="26"/>
      <c r="AR35" s="34"/>
      <c r="AS35" s="35"/>
    </row>
    <row r="36" spans="5:45" ht="9" customHeight="1">
      <c r="E36" s="16"/>
      <c r="H36" s="16"/>
      <c r="K36" s="16"/>
      <c r="N36" s="16"/>
      <c r="Q36" s="16"/>
      <c r="T36" s="16"/>
      <c r="W36" s="16"/>
      <c r="Z36" s="16"/>
      <c r="AC36" s="16"/>
      <c r="AF36" s="55"/>
      <c r="AG36" s="26"/>
      <c r="AH36" s="26"/>
      <c r="AI36" s="55"/>
      <c r="AJ36" s="26"/>
      <c r="AK36" s="26"/>
      <c r="AL36" s="55"/>
      <c r="AM36" s="26"/>
      <c r="AN36" s="26"/>
      <c r="AO36" s="55"/>
      <c r="AP36" s="26"/>
      <c r="AQ36" s="26"/>
      <c r="AR36" s="55"/>
      <c r="AS36" s="26"/>
    </row>
    <row r="37" spans="2:45" ht="13.5" thickBot="1">
      <c r="B37" s="7" t="s">
        <v>99</v>
      </c>
      <c r="C37" s="8"/>
      <c r="E37" s="11">
        <f>+E33+E35</f>
        <v>52528</v>
      </c>
      <c r="F37" s="18"/>
      <c r="H37" s="11">
        <f>+H33+H35</f>
        <v>42538</v>
      </c>
      <c r="I37" s="18"/>
      <c r="K37" s="11">
        <f>+K33+K35</f>
        <v>55690</v>
      </c>
      <c r="L37" s="18"/>
      <c r="N37" s="11">
        <f>+N33+N35</f>
        <v>-8930</v>
      </c>
      <c r="O37" s="18"/>
      <c r="Q37" s="11">
        <f>+Q33+Q35</f>
        <v>19068.300000000076</v>
      </c>
      <c r="R37" s="18"/>
      <c r="T37" s="11">
        <f>+T33+T35</f>
        <v>51103.77405000008</v>
      </c>
      <c r="U37" s="18"/>
      <c r="W37" s="11">
        <f>+W33+W35</f>
        <v>73046.58472950006</v>
      </c>
      <c r="X37" s="18"/>
      <c r="Z37" s="11">
        <f>+Z33+Z35</f>
        <v>85923.33440785507</v>
      </c>
      <c r="AA37" s="18"/>
      <c r="AC37" s="11">
        <f>+AC33+AC35</f>
        <v>96081.00851824037</v>
      </c>
      <c r="AD37" s="18"/>
      <c r="AF37" s="24"/>
      <c r="AG37" s="36"/>
      <c r="AH37" s="26"/>
      <c r="AI37" s="24"/>
      <c r="AJ37" s="36"/>
      <c r="AK37" s="26"/>
      <c r="AL37" s="24"/>
      <c r="AM37" s="36"/>
      <c r="AN37" s="26"/>
      <c r="AO37" s="24"/>
      <c r="AP37" s="36"/>
      <c r="AQ37" s="26"/>
      <c r="AR37" s="24"/>
      <c r="AS37" s="36"/>
    </row>
    <row r="38" spans="32:45" ht="9" customHeight="1" thickTop="1"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2:45" ht="12.75">
      <c r="B39" s="13" t="s">
        <v>8</v>
      </c>
      <c r="C39" s="19" t="s">
        <v>11</v>
      </c>
      <c r="E39" s="42">
        <f>-E23</f>
        <v>19734</v>
      </c>
      <c r="F39" s="43"/>
      <c r="G39" s="26"/>
      <c r="H39" s="42">
        <f>-H23</f>
        <v>11334</v>
      </c>
      <c r="I39" s="43"/>
      <c r="J39" s="26"/>
      <c r="K39" s="42">
        <f>-K23</f>
        <v>16590</v>
      </c>
      <c r="L39" s="43"/>
      <c r="N39" s="22">
        <f>-N23</f>
        <v>20468</v>
      </c>
      <c r="O39" s="23"/>
      <c r="Q39" s="48">
        <f>-Q23</f>
        <v>36842.4</v>
      </c>
      <c r="R39" s="49"/>
      <c r="S39" s="26"/>
      <c r="T39" s="48">
        <f>-T23</f>
        <v>36842.4</v>
      </c>
      <c r="U39" s="49"/>
      <c r="V39" s="26"/>
      <c r="W39" s="48">
        <f>-W23</f>
        <v>36842.4</v>
      </c>
      <c r="X39" s="49"/>
      <c r="Y39" s="26"/>
      <c r="Z39" s="48">
        <f>-Z23</f>
        <v>36842.4</v>
      </c>
      <c r="AA39" s="49"/>
      <c r="AB39" s="26"/>
      <c r="AC39" s="48">
        <f>-AC23</f>
        <v>36842.4</v>
      </c>
      <c r="AD39" s="49"/>
      <c r="AF39" s="34"/>
      <c r="AG39" s="35"/>
      <c r="AH39" s="26"/>
      <c r="AI39" s="34"/>
      <c r="AJ39" s="35"/>
      <c r="AK39" s="26"/>
      <c r="AL39" s="34"/>
      <c r="AM39" s="35"/>
      <c r="AN39" s="26"/>
      <c r="AO39" s="34"/>
      <c r="AP39" s="35"/>
      <c r="AQ39" s="26"/>
      <c r="AR39" s="34"/>
      <c r="AS39" s="35"/>
    </row>
    <row r="40" spans="2:45" ht="12.75">
      <c r="B40" s="13" t="s">
        <v>8</v>
      </c>
      <c r="C40" s="19" t="s">
        <v>68</v>
      </c>
      <c r="E40" s="44">
        <f>-E24</f>
        <v>860</v>
      </c>
      <c r="F40" s="45"/>
      <c r="G40" s="26"/>
      <c r="H40" s="44">
        <f>-H24</f>
        <v>1836</v>
      </c>
      <c r="I40" s="45"/>
      <c r="J40" s="26"/>
      <c r="K40" s="44">
        <f>-K24</f>
        <v>1200</v>
      </c>
      <c r="L40" s="45"/>
      <c r="N40" s="22">
        <f>-N24</f>
        <v>2536</v>
      </c>
      <c r="O40" s="23"/>
      <c r="Q40" s="50">
        <f>-Q24</f>
        <v>2561.36</v>
      </c>
      <c r="R40" s="51"/>
      <c r="S40" s="26"/>
      <c r="T40" s="50">
        <f>-T24</f>
        <v>2586.9736000000003</v>
      </c>
      <c r="U40" s="51"/>
      <c r="V40" s="26"/>
      <c r="W40" s="50">
        <f>-W24</f>
        <v>2612.8433360000004</v>
      </c>
      <c r="X40" s="51"/>
      <c r="Y40" s="26"/>
      <c r="Z40" s="50">
        <f>-Z24</f>
        <v>2638.9717693600005</v>
      </c>
      <c r="AA40" s="51"/>
      <c r="AB40" s="26"/>
      <c r="AC40" s="50">
        <f>-AC24</f>
        <v>2665.3614870536007</v>
      </c>
      <c r="AD40" s="51"/>
      <c r="AF40" s="34"/>
      <c r="AG40" s="35"/>
      <c r="AH40" s="26"/>
      <c r="AI40" s="34"/>
      <c r="AJ40" s="35"/>
      <c r="AK40" s="26"/>
      <c r="AL40" s="34"/>
      <c r="AM40" s="35"/>
      <c r="AN40" s="26"/>
      <c r="AO40" s="34"/>
      <c r="AP40" s="35"/>
      <c r="AQ40" s="26"/>
      <c r="AR40" s="34"/>
      <c r="AS40" s="35"/>
    </row>
    <row r="41" spans="2:45" ht="12.75">
      <c r="B41" s="13" t="s">
        <v>9</v>
      </c>
      <c r="C41" s="19" t="s">
        <v>69</v>
      </c>
      <c r="E41" s="44"/>
      <c r="F41" s="45"/>
      <c r="G41" s="26"/>
      <c r="H41" s="44"/>
      <c r="I41" s="45"/>
      <c r="J41" s="26"/>
      <c r="K41" s="44"/>
      <c r="L41" s="45"/>
      <c r="N41" s="22"/>
      <c r="O41" s="23"/>
      <c r="Q41" s="50">
        <v>-180000</v>
      </c>
      <c r="R41" s="51"/>
      <c r="S41" s="26"/>
      <c r="T41" s="50"/>
      <c r="U41" s="51"/>
      <c r="V41" s="26"/>
      <c r="W41" s="50"/>
      <c r="X41" s="51"/>
      <c r="Y41" s="26"/>
      <c r="Z41" s="50"/>
      <c r="AA41" s="51"/>
      <c r="AB41" s="26"/>
      <c r="AC41" s="50"/>
      <c r="AD41" s="51"/>
      <c r="AF41" s="34"/>
      <c r="AG41" s="35"/>
      <c r="AH41" s="26"/>
      <c r="AI41" s="34"/>
      <c r="AJ41" s="35"/>
      <c r="AK41" s="26"/>
      <c r="AL41" s="34"/>
      <c r="AM41" s="35"/>
      <c r="AN41" s="26"/>
      <c r="AO41" s="34"/>
      <c r="AP41" s="35"/>
      <c r="AQ41" s="26"/>
      <c r="AR41" s="34"/>
      <c r="AS41" s="35"/>
    </row>
    <row r="42" spans="2:45" ht="12.75">
      <c r="B42" s="13" t="s">
        <v>10</v>
      </c>
      <c r="C42" s="19" t="s">
        <v>12</v>
      </c>
      <c r="E42" s="44"/>
      <c r="F42" s="45"/>
      <c r="G42" s="26"/>
      <c r="H42" s="44"/>
      <c r="I42" s="45"/>
      <c r="J42" s="26"/>
      <c r="K42" s="44"/>
      <c r="L42" s="45"/>
      <c r="N42" s="22"/>
      <c r="O42" s="23"/>
      <c r="Q42" s="50">
        <v>-22350.28</v>
      </c>
      <c r="R42" s="51"/>
      <c r="S42" s="26"/>
      <c r="T42" s="50">
        <v>-25513.05</v>
      </c>
      <c r="U42" s="51"/>
      <c r="V42" s="26"/>
      <c r="W42" s="50">
        <v>-27784.51</v>
      </c>
      <c r="X42" s="51"/>
      <c r="Y42" s="26"/>
      <c r="Z42" s="50">
        <v>-29256.02</v>
      </c>
      <c r="AA42" s="51"/>
      <c r="AB42" s="26"/>
      <c r="AC42" s="50">
        <v>-30491.88</v>
      </c>
      <c r="AD42" s="51"/>
      <c r="AF42" s="34"/>
      <c r="AG42" s="35"/>
      <c r="AH42" s="26"/>
      <c r="AI42" s="34"/>
      <c r="AJ42" s="35"/>
      <c r="AK42" s="26"/>
      <c r="AL42" s="34"/>
      <c r="AM42" s="35"/>
      <c r="AN42" s="26"/>
      <c r="AO42" s="34"/>
      <c r="AP42" s="35"/>
      <c r="AQ42" s="26"/>
      <c r="AR42" s="34"/>
      <c r="AS42" s="35"/>
    </row>
    <row r="43" spans="2:45" ht="12.75">
      <c r="B43" s="13" t="s">
        <v>8</v>
      </c>
      <c r="C43" s="19" t="s">
        <v>70</v>
      </c>
      <c r="E43" s="44">
        <f>-(E29*(1-Dades!$C$7))</f>
        <v>5631</v>
      </c>
      <c r="F43" s="45"/>
      <c r="G43" s="26"/>
      <c r="H43" s="44">
        <f>-(H29*(1-Dades!$C$7))</f>
        <v>6528</v>
      </c>
      <c r="I43" s="45"/>
      <c r="J43" s="26"/>
      <c r="K43" s="44">
        <f>-(K29*(1-Dades!$C$7))</f>
        <v>3468</v>
      </c>
      <c r="L43" s="45"/>
      <c r="N43" s="22">
        <f>-(N29*(1-Dades!C7))</f>
        <v>2505</v>
      </c>
      <c r="O43" s="23"/>
      <c r="Q43" s="50">
        <f>-Q29*(1-Dades!C7)</f>
        <v>2530.05</v>
      </c>
      <c r="R43" s="51"/>
      <c r="S43" s="26"/>
      <c r="T43" s="50">
        <f>-T29*(1-Dades!F7)</f>
        <v>3407.134</v>
      </c>
      <c r="U43" s="51"/>
      <c r="V43" s="26"/>
      <c r="W43" s="50">
        <f>-W29*(1-Dades!I7)</f>
        <v>3441.20534</v>
      </c>
      <c r="X43" s="51"/>
      <c r="Y43" s="26"/>
      <c r="Z43" s="50">
        <f>-Z29*(1-Dades!L7)</f>
        <v>3475.6173934</v>
      </c>
      <c r="AA43" s="51"/>
      <c r="AB43" s="26"/>
      <c r="AC43" s="50">
        <f>-AC29*(1-Dades!O7)</f>
        <v>3510.3735673339997</v>
      </c>
      <c r="AD43" s="51"/>
      <c r="AF43" s="34"/>
      <c r="AG43" s="35"/>
      <c r="AH43" s="26"/>
      <c r="AI43" s="34"/>
      <c r="AJ43" s="35"/>
      <c r="AK43" s="26"/>
      <c r="AL43" s="34"/>
      <c r="AM43" s="35"/>
      <c r="AN43" s="26"/>
      <c r="AO43" s="34"/>
      <c r="AP43" s="35"/>
      <c r="AQ43" s="26"/>
      <c r="AR43" s="34"/>
      <c r="AS43" s="35"/>
    </row>
    <row r="44" spans="32:45" ht="9" customHeight="1"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2:45" ht="13.5" thickBot="1">
      <c r="B45" s="7" t="s">
        <v>100</v>
      </c>
      <c r="C45" s="9"/>
      <c r="E45" s="11">
        <f>+SUM(E39:E43,E37)</f>
        <v>78753</v>
      </c>
      <c r="F45" s="12"/>
      <c r="H45" s="11">
        <f>+SUM(H39:H43,H37)</f>
        <v>62236</v>
      </c>
      <c r="I45" s="12"/>
      <c r="K45" s="11">
        <f>+SUM(K39:K43,K37)</f>
        <v>76948</v>
      </c>
      <c r="L45" s="12"/>
      <c r="N45" s="11">
        <f>+SUM(N39:N43,N37)</f>
        <v>16579</v>
      </c>
      <c r="O45" s="12"/>
      <c r="Q45" s="11">
        <f>+SUM(Q39:Q43,Q37)</f>
        <v>-141348.16999999993</v>
      </c>
      <c r="R45" s="12"/>
      <c r="T45" s="11">
        <f>+SUM(T39:T43,T37)</f>
        <v>68427.23165000009</v>
      </c>
      <c r="U45" s="12"/>
      <c r="W45" s="11">
        <f>+SUM(W39:W43,W37)</f>
        <v>88158.52340550006</v>
      </c>
      <c r="X45" s="12"/>
      <c r="Z45" s="11">
        <f>+SUM(Z39:Z43,Z37)</f>
        <v>99624.30357061507</v>
      </c>
      <c r="AA45" s="12"/>
      <c r="AC45" s="11">
        <f>+SUM(AC39:AC43,AC37)</f>
        <v>108607.26357262797</v>
      </c>
      <c r="AD45" s="12"/>
      <c r="AF45" s="24"/>
      <c r="AG45" s="25"/>
      <c r="AH45" s="26"/>
      <c r="AI45" s="24"/>
      <c r="AJ45" s="25"/>
      <c r="AK45" s="26"/>
      <c r="AL45" s="24"/>
      <c r="AM45" s="25"/>
      <c r="AN45" s="26"/>
      <c r="AO45" s="24"/>
      <c r="AP45" s="25"/>
      <c r="AQ45" s="26"/>
      <c r="AR45" s="24"/>
      <c r="AS45" s="25"/>
    </row>
    <row r="46" ht="9" customHeight="1" thickTop="1"/>
    <row r="47" spans="2:42" ht="13.5" thickBot="1">
      <c r="B47" s="7" t="s">
        <v>104</v>
      </c>
      <c r="C47" s="9"/>
      <c r="E47" s="24"/>
      <c r="F47" s="25"/>
      <c r="G47" s="26"/>
      <c r="H47" s="24"/>
      <c r="I47" s="25"/>
      <c r="J47" s="26"/>
      <c r="K47" s="24"/>
      <c r="L47" s="25"/>
      <c r="M47" s="26"/>
      <c r="N47" s="24"/>
      <c r="O47" s="25"/>
      <c r="P47" s="26"/>
      <c r="Q47" s="24"/>
      <c r="R47" s="25"/>
      <c r="S47" s="26"/>
      <c r="T47" s="24"/>
      <c r="U47" s="25"/>
      <c r="V47" s="26"/>
      <c r="W47" s="24"/>
      <c r="X47" s="25"/>
      <c r="Y47" s="26"/>
      <c r="Z47" s="24"/>
      <c r="AA47" s="25"/>
      <c r="AB47" s="26"/>
      <c r="AC47" s="11">
        <f>+((AC45*(1-Dades!C13)))/('CÀLCUL 2'!E62-Dades!C13)</f>
        <v>1652379.597111084</v>
      </c>
      <c r="AD47" s="12"/>
      <c r="AE47" s="2" t="e">
        <f>CONCATENATE(" amb una taxa de creixement del ",Dades!C13,", ",'CÀLCUL 2'!#REF!," i ",'CÀLCUL 2'!E58)</f>
        <v>#REF!</v>
      </c>
      <c r="AG47" s="25"/>
      <c r="AK47" s="26"/>
      <c r="AL47" s="24"/>
      <c r="AM47" s="25"/>
      <c r="AN47" s="26"/>
      <c r="AO47" s="24"/>
      <c r="AP47" s="25"/>
    </row>
    <row r="48" spans="5:31" ht="13.5" thickTop="1">
      <c r="E48"/>
      <c r="AE48" s="27"/>
    </row>
    <row r="49" spans="30:31" ht="12.75">
      <c r="AD49" s="25"/>
      <c r="AE49" s="2"/>
    </row>
    <row r="50" spans="7:45" ht="12.75">
      <c r="G50" s="1"/>
      <c r="J50" s="1"/>
      <c r="Q50" s="172"/>
      <c r="R50" s="172"/>
      <c r="T50" s="172"/>
      <c r="U50" s="172"/>
      <c r="W50" s="172"/>
      <c r="X50" s="172"/>
      <c r="Z50" s="172"/>
      <c r="AA50" s="172"/>
      <c r="AC50" s="26"/>
      <c r="AD50" s="26"/>
      <c r="AE50" s="2"/>
      <c r="AF50" s="172"/>
      <c r="AG50" s="172"/>
      <c r="AK50" s="39"/>
      <c r="AL50" s="172"/>
      <c r="AM50" s="172"/>
      <c r="AN50" s="39"/>
      <c r="AO50" s="172"/>
      <c r="AP50" s="172"/>
      <c r="AQ50" s="39"/>
      <c r="AR50" s="172"/>
      <c r="AS50" s="172"/>
    </row>
    <row r="51" spans="7:45" ht="12.75">
      <c r="G51" s="1"/>
      <c r="J51" s="1"/>
      <c r="Q51" s="52"/>
      <c r="R51" s="39"/>
      <c r="T51" s="52"/>
      <c r="U51" s="39"/>
      <c r="W51" s="52"/>
      <c r="X51" s="39"/>
      <c r="Z51" s="52"/>
      <c r="AA51" s="39"/>
      <c r="AC51" s="24"/>
      <c r="AD51" s="25"/>
      <c r="AE51" s="2"/>
      <c r="AF51" s="52"/>
      <c r="AG51" s="39"/>
      <c r="AK51" s="39"/>
      <c r="AL51" s="52"/>
      <c r="AM51" s="39"/>
      <c r="AN51" s="39"/>
      <c r="AO51" s="52"/>
      <c r="AP51" s="39"/>
      <c r="AQ51" s="39"/>
      <c r="AR51" s="52"/>
      <c r="AS51" s="39"/>
    </row>
    <row r="52" spans="7:45" ht="12.75">
      <c r="G52" s="1"/>
      <c r="J52" s="1"/>
      <c r="P52" s="3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26"/>
      <c r="AD52" s="26"/>
      <c r="AE52" s="2"/>
      <c r="AF52" s="40"/>
      <c r="AG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7:45" ht="12.75">
      <c r="G53" s="1"/>
      <c r="J53" s="1"/>
      <c r="P53" s="28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24"/>
      <c r="AD53" s="25"/>
      <c r="AE53" s="2"/>
      <c r="AF53" s="41"/>
      <c r="AG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7:45" ht="12.75">
      <c r="G54" s="1"/>
      <c r="J54" s="1"/>
      <c r="P54" s="28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26"/>
      <c r="AD54" s="26"/>
      <c r="AE54" s="2"/>
      <c r="AF54" s="41"/>
      <c r="AG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7:45" ht="12.75">
      <c r="G55" s="1"/>
      <c r="J55" s="1"/>
      <c r="P55" s="28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24"/>
      <c r="AD55" s="25"/>
      <c r="AE55" s="2"/>
      <c r="AF55" s="41"/>
      <c r="AG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7:45" ht="12.75">
      <c r="G56" s="1"/>
      <c r="J56" s="1"/>
      <c r="P56" s="3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7:45" ht="12.75">
      <c r="G57" s="1"/>
      <c r="J57" s="1"/>
      <c r="P57" s="28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7:45" ht="12.75">
      <c r="G58" s="1"/>
      <c r="J58" s="1"/>
      <c r="P58" s="2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7:45" ht="12.75">
      <c r="G59" s="1"/>
      <c r="J59" s="1"/>
      <c r="P59" s="28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8:14" ht="12.75">
      <c r="H60" s="28"/>
      <c r="N60" s="28"/>
    </row>
    <row r="61" ht="12.75">
      <c r="E61" s="28"/>
    </row>
  </sheetData>
  <sheetProtection/>
  <mergeCells count="29">
    <mergeCell ref="T50:U50"/>
    <mergeCell ref="W50:X50"/>
    <mergeCell ref="Z50:AA50"/>
    <mergeCell ref="AO50:AP50"/>
    <mergeCell ref="AR50:AS50"/>
    <mergeCell ref="AF50:AG50"/>
    <mergeCell ref="AL50:AM50"/>
    <mergeCell ref="N16:O16"/>
    <mergeCell ref="E5:F5"/>
    <mergeCell ref="H5:I5"/>
    <mergeCell ref="K5:L5"/>
    <mergeCell ref="N5:O5"/>
    <mergeCell ref="Q50:R50"/>
    <mergeCell ref="W16:X16"/>
    <mergeCell ref="Z16:AA16"/>
    <mergeCell ref="Q3:AD3"/>
    <mergeCell ref="E3:L3"/>
    <mergeCell ref="N3:O3"/>
    <mergeCell ref="Q16:R16"/>
    <mergeCell ref="T16:U16"/>
    <mergeCell ref="E16:F16"/>
    <mergeCell ref="H16:I16"/>
    <mergeCell ref="K16:L16"/>
    <mergeCell ref="AL16:AM16"/>
    <mergeCell ref="AO16:AP16"/>
    <mergeCell ref="AR16:AS16"/>
    <mergeCell ref="AC16:AD16"/>
    <mergeCell ref="AF16:AG16"/>
    <mergeCell ref="AI16:AJ16"/>
  </mergeCells>
  <printOptions/>
  <pageMargins left="0.4" right="0.25" top="0.17" bottom="0.16" header="0" footer="0"/>
  <pageSetup fitToWidth="0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N62"/>
  <sheetViews>
    <sheetView showGridLines="0" zoomScalePageLayoutView="0" workbookViewId="0" topLeftCell="A16">
      <selection activeCell="G8" sqref="G8"/>
    </sheetView>
  </sheetViews>
  <sheetFormatPr defaultColWidth="11.421875" defaultRowHeight="12.75"/>
  <cols>
    <col min="1" max="1" width="11.421875" style="60" customWidth="1"/>
    <col min="2" max="2" width="32.57421875" style="60" customWidth="1"/>
    <col min="3" max="3" width="3.8515625" style="60" bestFit="1" customWidth="1"/>
    <col min="4" max="4" width="0.85546875" style="60" customWidth="1"/>
    <col min="5" max="5" width="15.57421875" style="61" customWidth="1"/>
    <col min="6" max="6" width="0.9921875" style="61" customWidth="1"/>
    <col min="7" max="7" width="15.57421875" style="60" customWidth="1"/>
    <col min="8" max="8" width="0.9921875" style="60" customWidth="1"/>
    <col min="9" max="9" width="15.57421875" style="60" customWidth="1"/>
    <col min="10" max="10" width="0.9921875" style="60" customWidth="1"/>
    <col min="11" max="11" width="15.57421875" style="60" customWidth="1"/>
    <col min="12" max="12" width="0.9921875" style="60" customWidth="1"/>
    <col min="13" max="13" width="15.57421875" style="60" customWidth="1"/>
    <col min="14" max="14" width="14.00390625" style="60" customWidth="1"/>
    <col min="15" max="16384" width="11.421875" style="60" customWidth="1"/>
  </cols>
  <sheetData>
    <row r="2" spans="2:6" ht="15">
      <c r="B2" s="59" t="s">
        <v>105</v>
      </c>
      <c r="E2" s="60"/>
      <c r="F2" s="60"/>
    </row>
    <row r="4" spans="2:13" ht="15.75" thickBot="1">
      <c r="B4" s="64" t="s">
        <v>108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ht="15.75" thickTop="1"/>
    <row r="6" spans="2:5" ht="15">
      <c r="B6" s="60" t="s">
        <v>71</v>
      </c>
      <c r="C6" s="166" t="s">
        <v>15</v>
      </c>
      <c r="E6" s="61">
        <v>0.6</v>
      </c>
    </row>
    <row r="7" ht="9" customHeight="1"/>
    <row r="8" spans="2:5" ht="15">
      <c r="B8" s="60" t="s">
        <v>72</v>
      </c>
      <c r="C8" s="166" t="s">
        <v>16</v>
      </c>
      <c r="E8" s="61">
        <v>0.4</v>
      </c>
    </row>
    <row r="9" ht="9" customHeight="1"/>
    <row r="10" spans="2:5" ht="15">
      <c r="B10" s="60" t="s">
        <v>73</v>
      </c>
      <c r="C10" s="166" t="s">
        <v>132</v>
      </c>
      <c r="E10" s="61">
        <v>0.06</v>
      </c>
    </row>
    <row r="11" ht="9" customHeight="1"/>
    <row r="12" spans="2:5" ht="15">
      <c r="B12" s="60" t="s">
        <v>74</v>
      </c>
      <c r="C12" s="166" t="s">
        <v>17</v>
      </c>
      <c r="E12" s="61">
        <f>+Dades!C7</f>
        <v>0.25</v>
      </c>
    </row>
    <row r="13" ht="9" customHeight="1"/>
    <row r="14" spans="2:8" ht="15">
      <c r="B14" s="60" t="s">
        <v>75</v>
      </c>
      <c r="C14" s="166" t="s">
        <v>18</v>
      </c>
      <c r="E14" s="61">
        <v>0.055</v>
      </c>
      <c r="G14" s="62" t="s">
        <v>30</v>
      </c>
      <c r="H14" s="62"/>
    </row>
    <row r="15" ht="9" customHeight="1"/>
    <row r="16" spans="2:5" ht="15">
      <c r="B16" s="60" t="s">
        <v>19</v>
      </c>
      <c r="C16" s="60" t="s">
        <v>20</v>
      </c>
      <c r="E16" s="61">
        <f>(M30-E30)/E30</f>
        <v>0.2206807736674743</v>
      </c>
    </row>
    <row r="17" ht="9" customHeight="1"/>
    <row r="18" spans="2:6" ht="15">
      <c r="B18" s="60" t="s">
        <v>21</v>
      </c>
      <c r="C18" s="60" t="s">
        <v>31</v>
      </c>
      <c r="E18" s="63">
        <f>(E22/E20)</f>
        <v>0.25240998549</v>
      </c>
      <c r="F18" s="63"/>
    </row>
    <row r="19" ht="9" customHeight="1"/>
    <row r="20" spans="2:8" ht="15">
      <c r="B20" s="60" t="s">
        <v>76</v>
      </c>
      <c r="C20" s="60" t="s">
        <v>78</v>
      </c>
      <c r="E20" s="61">
        <f>+M32</f>
        <v>0.2371141325797013</v>
      </c>
      <c r="G20" s="62" t="s">
        <v>22</v>
      </c>
      <c r="H20" s="62"/>
    </row>
    <row r="21" ht="9" customHeight="1"/>
    <row r="22" spans="2:8" ht="15">
      <c r="B22" s="60" t="s">
        <v>77</v>
      </c>
      <c r="C22" s="60" t="s">
        <v>79</v>
      </c>
      <c r="E22" s="61">
        <f>+M40</f>
        <v>0.05984997476391634</v>
      </c>
      <c r="G22" s="62"/>
      <c r="H22" s="62"/>
    </row>
    <row r="25" spans="2:13" ht="15">
      <c r="B25" s="82" t="s">
        <v>109</v>
      </c>
      <c r="C25" s="83"/>
      <c r="D25" s="83"/>
      <c r="E25" s="84" t="s">
        <v>23</v>
      </c>
      <c r="F25" s="132"/>
      <c r="G25" s="84" t="s">
        <v>24</v>
      </c>
      <c r="H25" s="132"/>
      <c r="I25" s="84" t="s">
        <v>25</v>
      </c>
      <c r="J25" s="132"/>
      <c r="K25" s="84" t="s">
        <v>26</v>
      </c>
      <c r="L25" s="132"/>
      <c r="M25" s="85">
        <v>2010</v>
      </c>
    </row>
    <row r="26" spans="2:13" ht="12.75" customHeight="1">
      <c r="B26" s="65"/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</row>
    <row r="27" spans="2:13" ht="15">
      <c r="B27" s="77" t="s">
        <v>80</v>
      </c>
      <c r="C27" s="68"/>
      <c r="D27" s="68"/>
      <c r="E27" s="78">
        <v>1554.93</v>
      </c>
      <c r="F27" s="66"/>
      <c r="G27" s="78">
        <v>1642.01</v>
      </c>
      <c r="H27" s="74"/>
      <c r="I27" s="78">
        <v>1263.11</v>
      </c>
      <c r="J27" s="74"/>
      <c r="K27" s="78">
        <v>1054.13</v>
      </c>
      <c r="L27" s="74"/>
      <c r="M27" s="78">
        <v>1621.15</v>
      </c>
    </row>
    <row r="28" spans="2:13" ht="15">
      <c r="B28" s="77" t="s">
        <v>27</v>
      </c>
      <c r="C28" s="146"/>
      <c r="D28" s="68"/>
      <c r="E28" s="78"/>
      <c r="F28" s="75"/>
      <c r="G28" s="79">
        <f>+(G27-E27)/E27</f>
        <v>0.05600252101380765</v>
      </c>
      <c r="H28" s="76"/>
      <c r="I28" s="79">
        <f>+(I27-G27)/G27</f>
        <v>-0.23075377129250133</v>
      </c>
      <c r="J28" s="76"/>
      <c r="K28" s="79">
        <f>+(K27-I27)/I27</f>
        <v>-0.16544877326598617</v>
      </c>
      <c r="L28" s="76"/>
      <c r="M28" s="79">
        <f>+(M27-K27)/K27</f>
        <v>0.5379032946600514</v>
      </c>
    </row>
    <row r="29" spans="2:13" ht="15">
      <c r="B29" s="77" t="s">
        <v>81</v>
      </c>
      <c r="C29" s="68"/>
      <c r="D29" s="68"/>
      <c r="E29" s="78"/>
      <c r="F29" s="75"/>
      <c r="G29" s="78"/>
      <c r="H29" s="76"/>
      <c r="I29" s="78"/>
      <c r="J29" s="76"/>
      <c r="K29" s="78"/>
      <c r="L29" s="76"/>
      <c r="M29" s="80">
        <f>STDEV(G28:M28)</f>
        <v>0.34800631721016323</v>
      </c>
    </row>
    <row r="30" spans="2:13" ht="15">
      <c r="B30" s="77" t="s">
        <v>51</v>
      </c>
      <c r="C30" s="68"/>
      <c r="D30" s="68"/>
      <c r="E30" s="78">
        <v>1638.43</v>
      </c>
      <c r="F30" s="75"/>
      <c r="G30" s="78">
        <v>1738.77</v>
      </c>
      <c r="H30" s="76"/>
      <c r="I30" s="78">
        <v>1507.12</v>
      </c>
      <c r="J30" s="76"/>
      <c r="K30" s="78">
        <v>1424.31</v>
      </c>
      <c r="L30" s="76"/>
      <c r="M30" s="78">
        <v>2000</v>
      </c>
    </row>
    <row r="31" spans="2:13" ht="15">
      <c r="B31" s="77" t="s">
        <v>27</v>
      </c>
      <c r="C31" s="68"/>
      <c r="D31" s="68"/>
      <c r="E31" s="78"/>
      <c r="F31" s="75"/>
      <c r="G31" s="79">
        <f>+(G30-E30)/E30</f>
        <v>0.061241554414897134</v>
      </c>
      <c r="H31" s="76"/>
      <c r="I31" s="79">
        <f>+(I30-G30)/G30</f>
        <v>-0.13322636116335115</v>
      </c>
      <c r="J31" s="76"/>
      <c r="K31" s="79">
        <f>+(K30-I30)/I30</f>
        <v>-0.054945856998779095</v>
      </c>
      <c r="L31" s="76"/>
      <c r="M31" s="79">
        <f>+(M30-K30)/K30</f>
        <v>0.4041886948768176</v>
      </c>
    </row>
    <row r="32" spans="2:13" ht="15">
      <c r="B32" s="77" t="s">
        <v>131</v>
      </c>
      <c r="C32" s="69"/>
      <c r="D32" s="69"/>
      <c r="E32" s="78"/>
      <c r="F32" s="75"/>
      <c r="G32" s="78"/>
      <c r="H32" s="76"/>
      <c r="I32" s="78"/>
      <c r="J32" s="76"/>
      <c r="K32" s="78"/>
      <c r="L32" s="76"/>
      <c r="M32" s="79">
        <f>STDEV(G31:M31)</f>
        <v>0.2371141325797013</v>
      </c>
    </row>
    <row r="35" spans="2:13" ht="15">
      <c r="B35" s="82" t="s">
        <v>110</v>
      </c>
      <c r="C35" s="83"/>
      <c r="D35" s="83"/>
      <c r="E35" s="84" t="s">
        <v>23</v>
      </c>
      <c r="F35" s="132"/>
      <c r="G35" s="84" t="s">
        <v>24</v>
      </c>
      <c r="H35" s="132"/>
      <c r="I35" s="84" t="s">
        <v>25</v>
      </c>
      <c r="J35" s="132"/>
      <c r="K35" s="84" t="s">
        <v>26</v>
      </c>
      <c r="L35" s="132"/>
      <c r="M35" s="85">
        <v>2010</v>
      </c>
    </row>
    <row r="36" spans="2:13" ht="15">
      <c r="B36" s="65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</row>
    <row r="37" spans="2:13" ht="15">
      <c r="B37" s="77" t="s">
        <v>82</v>
      </c>
      <c r="C37" s="68"/>
      <c r="D37" s="68"/>
      <c r="E37" s="78"/>
      <c r="F37" s="66"/>
      <c r="G37" s="78">
        <v>447001</v>
      </c>
      <c r="H37" s="74"/>
      <c r="I37" s="78">
        <f>+G37+'CÀLCUL 1'!E37</f>
        <v>499529</v>
      </c>
      <c r="J37" s="74"/>
      <c r="K37" s="78">
        <f>+I37+'CÀLCUL 1'!H37</f>
        <v>542067</v>
      </c>
      <c r="L37" s="74"/>
      <c r="M37" s="78">
        <f>+K37+'CÀLCUL 1'!K37</f>
        <v>597757</v>
      </c>
    </row>
    <row r="38" spans="2:13" ht="15">
      <c r="B38" s="77" t="s">
        <v>28</v>
      </c>
      <c r="C38" s="68"/>
      <c r="D38" s="68"/>
      <c r="E38" s="78"/>
      <c r="F38" s="66"/>
      <c r="G38" s="78">
        <f>+'CÀLCUL 1'!E37</f>
        <v>52528</v>
      </c>
      <c r="H38" s="74"/>
      <c r="I38" s="78">
        <f>+'CÀLCUL 1'!H37</f>
        <v>42538</v>
      </c>
      <c r="J38" s="74"/>
      <c r="K38" s="78">
        <f>+'CÀLCUL 1'!K37</f>
        <v>55690</v>
      </c>
      <c r="L38" s="74"/>
      <c r="M38" s="78">
        <f>+'CÀLCUL 1'!N37</f>
        <v>-8930</v>
      </c>
    </row>
    <row r="39" spans="2:13" ht="15">
      <c r="B39" s="77" t="s">
        <v>29</v>
      </c>
      <c r="C39" s="68"/>
      <c r="D39" s="68"/>
      <c r="E39" s="78"/>
      <c r="F39" s="75"/>
      <c r="G39" s="79">
        <f>+G38/G37</f>
        <v>0.11751204136008644</v>
      </c>
      <c r="H39" s="76"/>
      <c r="I39" s="79">
        <f>+I38/I37</f>
        <v>0.08515621715656148</v>
      </c>
      <c r="J39" s="76"/>
      <c r="K39" s="79">
        <f>+K38/K37</f>
        <v>0.10273637760645825</v>
      </c>
      <c r="L39" s="76"/>
      <c r="M39" s="79">
        <f>+M38/M37</f>
        <v>-0.01493918097153191</v>
      </c>
    </row>
    <row r="40" spans="2:13" ht="15">
      <c r="B40" s="77" t="s">
        <v>116</v>
      </c>
      <c r="C40" s="69"/>
      <c r="D40" s="69"/>
      <c r="E40" s="78"/>
      <c r="F40" s="75"/>
      <c r="G40" s="78"/>
      <c r="H40" s="76"/>
      <c r="I40" s="78"/>
      <c r="J40" s="76"/>
      <c r="K40" s="78"/>
      <c r="L40" s="76"/>
      <c r="M40" s="79">
        <f>STDEV(G39:M39)</f>
        <v>0.05984997476391634</v>
      </c>
    </row>
    <row r="42" spans="5:7" ht="15">
      <c r="E42" s="66"/>
      <c r="F42" s="81"/>
      <c r="G42" s="66"/>
    </row>
    <row r="43" spans="2:13" ht="15.75" thickBot="1">
      <c r="B43" s="64" t="s">
        <v>111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ht="15.75" thickTop="1"/>
    <row r="45" spans="2:6" ht="15.75" thickBot="1">
      <c r="B45" s="90" t="s">
        <v>112</v>
      </c>
      <c r="C45" s="167" t="s">
        <v>106</v>
      </c>
      <c r="E45" s="94">
        <f>+((E10*(1-E12))*E6)</f>
        <v>0.027</v>
      </c>
      <c r="F45" s="95"/>
    </row>
    <row r="46" spans="2:6" ht="15.75" thickTop="1">
      <c r="B46" s="59"/>
      <c r="E46" s="86"/>
      <c r="F46" s="60"/>
    </row>
    <row r="47" spans="2:6" s="70" customFormat="1" ht="15.75" thickBot="1">
      <c r="B47" s="90" t="s">
        <v>113</v>
      </c>
      <c r="C47" s="167" t="s">
        <v>107</v>
      </c>
      <c r="D47" s="60"/>
      <c r="E47" s="94">
        <f>+((E14+(E18*(E16-E14)))*E8)</f>
        <v>0.038727792670951666</v>
      </c>
      <c r="F47" s="95"/>
    </row>
    <row r="48" spans="5:6" ht="15.75" thickTop="1">
      <c r="E48" s="60"/>
      <c r="F48" s="60"/>
    </row>
    <row r="49" spans="2:6" ht="15.75" thickBot="1">
      <c r="B49" s="90" t="s">
        <v>114</v>
      </c>
      <c r="C49" s="167" t="s">
        <v>32</v>
      </c>
      <c r="D49" s="59"/>
      <c r="E49" s="87">
        <f>+SUM(E45:E47)</f>
        <v>0.06572779267095166</v>
      </c>
      <c r="F49" s="92"/>
    </row>
    <row r="50" s="70" customFormat="1" ht="15.75" thickTop="1"/>
    <row r="51" spans="5:6" ht="15">
      <c r="E51" s="60"/>
      <c r="F51" s="60"/>
    </row>
    <row r="52" spans="2:13" ht="15.75" thickBot="1">
      <c r="B52" s="64" t="s">
        <v>115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ht="15.75" thickTop="1"/>
    <row r="54" spans="2:13" ht="15">
      <c r="B54" s="77" t="str">
        <f>+B6</f>
        <v>% endeutament</v>
      </c>
      <c r="C54" s="168" t="str">
        <f>+C6</f>
        <v>D</v>
      </c>
      <c r="D54" s="89"/>
      <c r="E54" s="96">
        <f>+E6</f>
        <v>0.6</v>
      </c>
      <c r="F54" s="71"/>
      <c r="G54" s="96">
        <v>0.9</v>
      </c>
      <c r="H54" s="71"/>
      <c r="I54" s="96">
        <v>0.7</v>
      </c>
      <c r="J54" s="71"/>
      <c r="K54" s="96">
        <v>0.3</v>
      </c>
      <c r="L54" s="71"/>
      <c r="M54" s="96">
        <v>0.1</v>
      </c>
    </row>
    <row r="55" spans="2:6" ht="15">
      <c r="B55" s="70"/>
      <c r="C55" s="70"/>
      <c r="D55" s="70"/>
      <c r="E55" s="60"/>
      <c r="F55" s="60"/>
    </row>
    <row r="56" spans="2:13" ht="15.75" thickBot="1">
      <c r="B56" s="90" t="s">
        <v>112</v>
      </c>
      <c r="C56" s="167" t="s">
        <v>106</v>
      </c>
      <c r="E56" s="97">
        <f>+((E10*(1-E12))*E54)</f>
        <v>0.027</v>
      </c>
      <c r="F56" s="72"/>
      <c r="G56" s="97">
        <f>+((E10*(1-E12))*G54)</f>
        <v>0.0405</v>
      </c>
      <c r="H56" s="72"/>
      <c r="I56" s="97">
        <f>+((E10*(1-E12))*I54)</f>
        <v>0.0315</v>
      </c>
      <c r="J56" s="72"/>
      <c r="K56" s="97">
        <f>+((E10*(1-E12))*K54)</f>
        <v>0.0135</v>
      </c>
      <c r="L56" s="72"/>
      <c r="M56" s="97">
        <f>+((E10*(1-E12))*M54)</f>
        <v>0.0045</v>
      </c>
    </row>
    <row r="57" spans="2:6" ht="15.75" thickTop="1">
      <c r="B57" s="59"/>
      <c r="E57" s="73"/>
      <c r="F57" s="73"/>
    </row>
    <row r="58" spans="2:14" ht="15">
      <c r="B58" s="77" t="str">
        <f>+B8</f>
        <v>% fons propis</v>
      </c>
      <c r="C58" s="168" t="str">
        <f>+C8</f>
        <v>E</v>
      </c>
      <c r="D58" s="89"/>
      <c r="E58" s="96">
        <f>1-E54</f>
        <v>0.4</v>
      </c>
      <c r="F58" s="71"/>
      <c r="G58" s="96">
        <f>1-G54</f>
        <v>0.09999999999999998</v>
      </c>
      <c r="H58" s="71"/>
      <c r="I58" s="96">
        <f>1-I54</f>
        <v>0.30000000000000004</v>
      </c>
      <c r="J58" s="71"/>
      <c r="K58" s="96">
        <f>1-K54</f>
        <v>0.7</v>
      </c>
      <c r="L58" s="71"/>
      <c r="M58" s="96">
        <f>1-M54</f>
        <v>0.9</v>
      </c>
      <c r="N58" s="98"/>
    </row>
    <row r="59" spans="2:6" ht="15">
      <c r="B59" s="88"/>
      <c r="C59" s="70"/>
      <c r="D59" s="70"/>
      <c r="E59" s="60"/>
      <c r="F59" s="60"/>
    </row>
    <row r="60" spans="2:13" ht="15.75" thickBot="1">
      <c r="B60" s="90" t="s">
        <v>113</v>
      </c>
      <c r="C60" s="167" t="s">
        <v>107</v>
      </c>
      <c r="E60" s="97">
        <f>+((E14+(E18*(E16-E14)))*E58)</f>
        <v>0.038727792670951666</v>
      </c>
      <c r="F60" s="72"/>
      <c r="G60" s="97">
        <f>+((E14+(E18*(E16-E14)))*G58)</f>
        <v>0.009681948167737915</v>
      </c>
      <c r="H60" s="72"/>
      <c r="I60" s="97">
        <f>+((E14+(E18*(E16-E14)))*I58)</f>
        <v>0.029045844503213753</v>
      </c>
      <c r="J60" s="72"/>
      <c r="K60" s="97">
        <f>+((E14+(E18*(E16-E14)))*K58)</f>
        <v>0.06777363717416542</v>
      </c>
      <c r="L60" s="72"/>
      <c r="M60" s="97">
        <f>+((E14+(E18*(E16-E14)))*M58)</f>
        <v>0.08713753350964125</v>
      </c>
    </row>
    <row r="61" ht="15.75" thickTop="1"/>
    <row r="62" spans="2:13" ht="15.75" thickBot="1">
      <c r="B62" s="90" t="s">
        <v>114</v>
      </c>
      <c r="C62" s="167" t="s">
        <v>32</v>
      </c>
      <c r="E62" s="93">
        <f>+E56+E60</f>
        <v>0.06572779267095166</v>
      </c>
      <c r="F62" s="72"/>
      <c r="G62" s="93">
        <f>+G56+G60</f>
        <v>0.05018194816773792</v>
      </c>
      <c r="H62" s="72"/>
      <c r="I62" s="93">
        <f>+I56+I60</f>
        <v>0.06054584450321375</v>
      </c>
      <c r="J62" s="72"/>
      <c r="K62" s="93">
        <f>+K56+K60</f>
        <v>0.08127363717416541</v>
      </c>
      <c r="L62" s="72"/>
      <c r="M62" s="93">
        <f>+M56+M60</f>
        <v>0.09163753350964125</v>
      </c>
    </row>
    <row r="63" ht="15.75" thickTop="1"/>
  </sheetData>
  <sheetProtection/>
  <hyperlinks>
    <hyperlink ref="G20" r:id="rId1" display="http://www.sbolsas.com/mensual/im_201104.pdf"/>
    <hyperlink ref="G14" r:id="rId2" display="http://www.tesoro.es/sp/subastas/resultados/o_10a_11_05_19.asp"/>
  </hyperlinks>
  <printOptions/>
  <pageMargins left="0.3" right="0.51" top="1" bottom="1" header="0" footer="0"/>
  <pageSetup fitToHeight="1" fitToWidth="1" horizontalDpi="600" verticalDpi="600" orientation="portrait" paperSize="9" scale="74" r:id="rId3"/>
  <ignoredErrors>
    <ignoredError sqref="E25 M25 G25 I25 K25 E35:M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H28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11.421875" style="57" customWidth="1"/>
    <col min="2" max="2" width="14.00390625" style="57" customWidth="1"/>
    <col min="3" max="3" width="26.8515625" style="57" customWidth="1"/>
    <col min="4" max="4" width="0.85546875" style="57" customWidth="1"/>
    <col min="5" max="5" width="16.00390625" style="57" customWidth="1"/>
    <col min="6" max="6" width="0.85546875" style="57" customWidth="1"/>
    <col min="7" max="16384" width="11.421875" style="57" customWidth="1"/>
  </cols>
  <sheetData>
    <row r="2" ht="15.75">
      <c r="B2" s="56" t="s">
        <v>121</v>
      </c>
    </row>
    <row r="4" spans="6:8" ht="15.75">
      <c r="F4" s="99"/>
      <c r="G4" s="99"/>
      <c r="H4" s="99"/>
    </row>
    <row r="5" spans="2:8" ht="16.5" thickBot="1">
      <c r="B5" s="100" t="s">
        <v>83</v>
      </c>
      <c r="C5" s="100"/>
      <c r="D5" s="100"/>
      <c r="E5" s="100"/>
      <c r="F5" s="101"/>
      <c r="G5" s="101"/>
      <c r="H5" s="99"/>
    </row>
    <row r="6" spans="6:8" ht="16.5" thickTop="1">
      <c r="F6" s="99"/>
      <c r="G6" s="99"/>
      <c r="H6" s="99"/>
    </row>
    <row r="7" spans="2:8" ht="15.75">
      <c r="B7" s="56" t="s">
        <v>84</v>
      </c>
      <c r="C7" s="56"/>
      <c r="E7" s="102">
        <f>NPV('CÀLCUL 2'!E62,'CÀLCUL 1'!Q45:AC45)</f>
        <v>156678.02791971082</v>
      </c>
      <c r="F7" s="99"/>
      <c r="G7" s="99"/>
      <c r="H7" s="99"/>
    </row>
    <row r="8" spans="2:5" ht="15.75">
      <c r="B8" s="56"/>
      <c r="C8" s="56"/>
      <c r="E8" s="56"/>
    </row>
    <row r="9" spans="2:5" ht="15.75">
      <c r="B9" s="56" t="s">
        <v>85</v>
      </c>
      <c r="C9" s="56"/>
      <c r="E9" s="102">
        <f>+('CÀLCUL 1'!AC47)/((1+'CÀLCUL 2'!E62)^Dades!C15)</f>
        <v>1201927.7584654416</v>
      </c>
    </row>
    <row r="10" spans="2:5" ht="15.75">
      <c r="B10" s="56"/>
      <c r="C10" s="56"/>
      <c r="E10" s="56"/>
    </row>
    <row r="11" spans="2:5" ht="16.5" thickBot="1">
      <c r="B11" s="90" t="s">
        <v>86</v>
      </c>
      <c r="C11" s="91"/>
      <c r="E11" s="159">
        <f>+E7+E9</f>
        <v>1358605.7863851525</v>
      </c>
    </row>
    <row r="12" ht="16.5" thickTop="1"/>
    <row r="13" spans="1:5" ht="15.75">
      <c r="A13" s="103" t="s">
        <v>9</v>
      </c>
      <c r="B13" s="56" t="s">
        <v>87</v>
      </c>
      <c r="C13" s="56"/>
      <c r="E13" s="102">
        <v>-50000</v>
      </c>
    </row>
    <row r="14" spans="1:5" ht="15.75">
      <c r="A14" s="103"/>
      <c r="B14" s="56"/>
      <c r="C14" s="56"/>
      <c r="E14" s="102"/>
    </row>
    <row r="15" spans="1:5" ht="15.75">
      <c r="A15" s="103" t="s">
        <v>8</v>
      </c>
      <c r="B15" s="56" t="s">
        <v>89</v>
      </c>
      <c r="C15" s="56"/>
      <c r="E15" s="102">
        <v>36000</v>
      </c>
    </row>
    <row r="17" spans="2:5" ht="16.5" thickBot="1">
      <c r="B17" s="90" t="s">
        <v>90</v>
      </c>
      <c r="C17" s="91"/>
      <c r="E17" s="104">
        <f>+E11+E13+E15</f>
        <v>1344605.7863851525</v>
      </c>
    </row>
    <row r="18" ht="16.5" thickTop="1"/>
    <row r="28" ht="15.75">
      <c r="C28" s="1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28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" width="5.57421875" style="105" customWidth="1"/>
    <col min="2" max="2" width="14.00390625" style="105" customWidth="1"/>
    <col min="3" max="3" width="25.28125" style="105" customWidth="1"/>
    <col min="4" max="4" width="0.9921875" style="105" customWidth="1"/>
    <col min="5" max="5" width="17.8515625" style="105" customWidth="1"/>
    <col min="6" max="6" width="3.421875" style="105" customWidth="1"/>
    <col min="7" max="7" width="18.8515625" style="105" bestFit="1" customWidth="1"/>
    <col min="8" max="8" width="3.421875" style="105" customWidth="1"/>
    <col min="9" max="9" width="18.28125" style="105" customWidth="1"/>
    <col min="10" max="10" width="3.421875" style="105" customWidth="1"/>
    <col min="11" max="11" width="18.28125" style="105" customWidth="1"/>
    <col min="12" max="12" width="3.421875" style="105" customWidth="1"/>
    <col min="13" max="13" width="18.28125" style="105" customWidth="1"/>
    <col min="14" max="16384" width="11.421875" style="105" customWidth="1"/>
  </cols>
  <sheetData>
    <row r="2" ht="15.75">
      <c r="B2" s="101" t="s">
        <v>117</v>
      </c>
    </row>
    <row r="3" ht="24" customHeight="1"/>
    <row r="4" spans="2:14" ht="24" customHeight="1">
      <c r="B4" s="106"/>
      <c r="C4" s="107"/>
      <c r="D4" s="118"/>
      <c r="E4" s="108" t="s">
        <v>91</v>
      </c>
      <c r="F4" s="119"/>
      <c r="G4" s="108" t="s">
        <v>34</v>
      </c>
      <c r="H4" s="119"/>
      <c r="I4" s="108" t="s">
        <v>92</v>
      </c>
      <c r="J4" s="119"/>
      <c r="K4" s="108" t="s">
        <v>93</v>
      </c>
      <c r="L4" s="119"/>
      <c r="M4" s="108" t="s">
        <v>35</v>
      </c>
      <c r="N4" s="119"/>
    </row>
    <row r="5" spans="2:14" ht="24" customHeight="1">
      <c r="B5" s="101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3:13" ht="15.75">
      <c r="C6" s="121"/>
      <c r="D6" s="121"/>
      <c r="E6" s="131" t="s">
        <v>118</v>
      </c>
      <c r="F6" s="121"/>
      <c r="G6" s="122">
        <v>-0.01</v>
      </c>
      <c r="H6" s="122"/>
      <c r="I6" s="122">
        <v>-0.005</v>
      </c>
      <c r="J6" s="122"/>
      <c r="K6" s="122">
        <v>0.005</v>
      </c>
      <c r="L6" s="123"/>
      <c r="M6" s="122">
        <v>0.01</v>
      </c>
    </row>
    <row r="7" spans="3:13" ht="15.75">
      <c r="C7" s="121"/>
      <c r="D7" s="121"/>
      <c r="E7" s="131"/>
      <c r="F7" s="121"/>
      <c r="G7" s="122"/>
      <c r="H7" s="122"/>
      <c r="I7" s="122"/>
      <c r="J7" s="122"/>
      <c r="K7" s="122"/>
      <c r="L7" s="123"/>
      <c r="M7" s="122"/>
    </row>
    <row r="8" spans="5:13" ht="15.75">
      <c r="E8" s="109"/>
      <c r="G8" s="110"/>
      <c r="H8" s="110"/>
      <c r="I8" s="110"/>
      <c r="J8" s="110"/>
      <c r="K8" s="110"/>
      <c r="L8" s="111"/>
      <c r="M8" s="110"/>
    </row>
    <row r="9" spans="2:13" ht="15.75">
      <c r="B9" s="112" t="s">
        <v>119</v>
      </c>
      <c r="E9" s="115">
        <f>+Dades!C13</f>
        <v>0</v>
      </c>
      <c r="G9" s="124">
        <f>+$E9+G$6</f>
        <v>-0.01</v>
      </c>
      <c r="H9" s="124"/>
      <c r="I9" s="124">
        <f>+$E9+I$6</f>
        <v>-0.005</v>
      </c>
      <c r="J9" s="124"/>
      <c r="K9" s="124">
        <f>+$E9+K$6</f>
        <v>0.005</v>
      </c>
      <c r="L9" s="125"/>
      <c r="M9" s="124">
        <f>+$E9+M$6</f>
        <v>0.01</v>
      </c>
    </row>
    <row r="10" spans="2:13" ht="15.75">
      <c r="B10" s="112" t="s">
        <v>114</v>
      </c>
      <c r="E10" s="115">
        <f>+'CÀLCUL 2'!E62</f>
        <v>0.06572779267095166</v>
      </c>
      <c r="G10" s="124">
        <f>+$E10-G$6</f>
        <v>0.07572779267095166</v>
      </c>
      <c r="H10" s="124"/>
      <c r="I10" s="124">
        <f>+$E10-I$6</f>
        <v>0.07072779267095167</v>
      </c>
      <c r="J10" s="124"/>
      <c r="K10" s="124">
        <f>+$E10-K$6</f>
        <v>0.060727792670951665</v>
      </c>
      <c r="L10" s="125"/>
      <c r="M10" s="124">
        <f>+$E10-M$6</f>
        <v>0.05572779267095166</v>
      </c>
    </row>
    <row r="11" spans="3:13" ht="15.75">
      <c r="C11" s="112"/>
      <c r="D11" s="112"/>
      <c r="E11" s="113"/>
      <c r="G11" s="126"/>
      <c r="H11" s="126"/>
      <c r="I11" s="126"/>
      <c r="J11" s="126"/>
      <c r="K11" s="126"/>
      <c r="L11" s="126"/>
      <c r="M11" s="126"/>
    </row>
    <row r="12" spans="2:13" ht="15.75">
      <c r="B12" s="112" t="s">
        <v>84</v>
      </c>
      <c r="C12" s="112"/>
      <c r="D12" s="112"/>
      <c r="E12" s="116">
        <f>NPV('CÀLCUL 2'!E62,'CÀLCUL 1'!Q45:AC45)</f>
        <v>156678.02791971082</v>
      </c>
      <c r="G12" s="130">
        <f>NPV(G10,'CÀLCUL 1'!Q45:AC45)</f>
        <v>148347.52297294853</v>
      </c>
      <c r="H12" s="127"/>
      <c r="I12" s="130">
        <f>NPV(I10,'CÀLCUL 1'!Q45:AC45)</f>
        <v>152460.57760536773</v>
      </c>
      <c r="J12" s="127"/>
      <c r="K12" s="130">
        <f>NPV(K10,'CÀLCUL 1'!Q45:AC45)</f>
        <v>161003.00850065652</v>
      </c>
      <c r="L12" s="127"/>
      <c r="M12" s="130">
        <f>NPV(M10,'CÀLCUL 1'!Q45:AC45)</f>
        <v>165438.76436319159</v>
      </c>
    </row>
    <row r="13" spans="2:13" ht="15.75">
      <c r="B13" s="112" t="s">
        <v>85</v>
      </c>
      <c r="C13" s="112"/>
      <c r="D13" s="112"/>
      <c r="E13" s="116">
        <f>+('CÀLCUL 1'!AC47)/((1+E10)^Dades!C15)</f>
        <v>1201927.7584654416</v>
      </c>
      <c r="G13" s="130">
        <f>+((('CÀLCUL 1'!$AC$45*(1-G9)))/(G10-G9))/((1+G10)^Dades!$C$15)</f>
        <v>888273.4006225233</v>
      </c>
      <c r="H13" s="127"/>
      <c r="I13" s="130">
        <f>+((('CÀLCUL 1'!$AC$45*(1-I9)))/(I10-I9))/((1+I10)^Dades!$C$15)</f>
        <v>1024175.2028751456</v>
      </c>
      <c r="J13" s="127"/>
      <c r="K13" s="130">
        <f>+((('CÀLCUL 1'!$AC$45*(1-K9)))/(K10-K9))/((1+K10)^Dades!$C$15)</f>
        <v>1444077.0633329945</v>
      </c>
      <c r="L13" s="127"/>
      <c r="M13" s="130">
        <f>+((('CÀLCUL 1'!$AC$45*(1-M9)))/(M10-M9))/((1+M10)^Dades!$C$15)</f>
        <v>1792891.6897946093</v>
      </c>
    </row>
    <row r="14" spans="2:13" ht="15.75">
      <c r="B14" s="112" t="s">
        <v>86</v>
      </c>
      <c r="C14" s="112"/>
      <c r="D14" s="112"/>
      <c r="E14" s="116">
        <f>+E12+E13</f>
        <v>1358605.7863851525</v>
      </c>
      <c r="G14" s="130">
        <f>+SUM(G12:G13)</f>
        <v>1036620.9235954718</v>
      </c>
      <c r="H14" s="127"/>
      <c r="I14" s="130">
        <f>+SUM(I12:I13)</f>
        <v>1176635.7804805133</v>
      </c>
      <c r="J14" s="127"/>
      <c r="K14" s="130">
        <f>+SUM(K12:K13)</f>
        <v>1605080.071833651</v>
      </c>
      <c r="L14" s="127"/>
      <c r="M14" s="130">
        <f>+SUM(M12:M13)</f>
        <v>1958330.4541578009</v>
      </c>
    </row>
    <row r="15" spans="1:13" ht="15.75">
      <c r="A15" s="114" t="s">
        <v>9</v>
      </c>
      <c r="B15" s="112" t="s">
        <v>88</v>
      </c>
      <c r="C15" s="112"/>
      <c r="D15" s="112"/>
      <c r="E15" s="116">
        <f>+'CÀLCUL 3'!E13</f>
        <v>-50000</v>
      </c>
      <c r="G15" s="165">
        <f>+E15</f>
        <v>-50000</v>
      </c>
      <c r="H15" s="127"/>
      <c r="I15" s="165">
        <f>+G15</f>
        <v>-50000</v>
      </c>
      <c r="J15" s="127"/>
      <c r="K15" s="165">
        <f>+I15</f>
        <v>-50000</v>
      </c>
      <c r="L15" s="127"/>
      <c r="M15" s="165">
        <f>+K15</f>
        <v>-50000</v>
      </c>
    </row>
    <row r="16" spans="1:13" ht="15.75">
      <c r="A16" s="114" t="s">
        <v>8</v>
      </c>
      <c r="B16" s="112" t="s">
        <v>120</v>
      </c>
      <c r="C16" s="112"/>
      <c r="D16" s="112"/>
      <c r="E16" s="116">
        <f>+'CÀLCUL 3'!E15</f>
        <v>36000</v>
      </c>
      <c r="G16" s="165">
        <f>+E16</f>
        <v>36000</v>
      </c>
      <c r="H16" s="127"/>
      <c r="I16" s="165">
        <f>+G16</f>
        <v>36000</v>
      </c>
      <c r="J16" s="127"/>
      <c r="K16" s="165">
        <f>+I16</f>
        <v>36000</v>
      </c>
      <c r="L16" s="127"/>
      <c r="M16" s="165">
        <f>+K16</f>
        <v>36000</v>
      </c>
    </row>
    <row r="17" spans="7:13" ht="15.75">
      <c r="G17" s="112"/>
      <c r="H17" s="112"/>
      <c r="I17" s="112"/>
      <c r="J17" s="112"/>
      <c r="K17" s="112"/>
      <c r="L17" s="112"/>
      <c r="M17" s="112"/>
    </row>
    <row r="18" spans="2:13" ht="16.5" thickBot="1">
      <c r="B18" s="90" t="s">
        <v>90</v>
      </c>
      <c r="C18" s="91"/>
      <c r="D18" s="117"/>
      <c r="E18" s="120">
        <f>+E14+E15+E16</f>
        <v>1344605.7863851525</v>
      </c>
      <c r="G18" s="128">
        <f>+G14+G15+G16</f>
        <v>1022620.9235954718</v>
      </c>
      <c r="H18" s="112"/>
      <c r="I18" s="128">
        <f>+I14+I15+I16</f>
        <v>1162635.7804805133</v>
      </c>
      <c r="J18" s="112"/>
      <c r="K18" s="128">
        <f>+K14+K15+K16</f>
        <v>1591080.071833651</v>
      </c>
      <c r="L18" s="112"/>
      <c r="M18" s="129">
        <f>+M14+M15+M16</f>
        <v>1944330.4541578009</v>
      </c>
    </row>
    <row r="19" ht="16.5" thickTop="1"/>
    <row r="21" spans="2:6" ht="15.75">
      <c r="B21" s="57" t="s">
        <v>57</v>
      </c>
      <c r="C21" s="118"/>
      <c r="D21" s="57"/>
      <c r="E21" s="57"/>
      <c r="F21" s="57"/>
    </row>
    <row r="22" spans="2:6" ht="15.75">
      <c r="B22" s="57"/>
      <c r="C22" s="118"/>
      <c r="D22" s="57"/>
      <c r="E22" s="57"/>
      <c r="F22" s="57"/>
    </row>
    <row r="23" spans="2:6" ht="15.75">
      <c r="B23" s="57" t="s">
        <v>53</v>
      </c>
      <c r="C23" s="147">
        <f>+MAX(E18:M18)</f>
        <v>1944330.4541578009</v>
      </c>
      <c r="E23" s="57"/>
      <c r="F23" s="57"/>
    </row>
    <row r="24" spans="2:6" ht="15.75">
      <c r="B24" s="57" t="s">
        <v>54</v>
      </c>
      <c r="C24" s="147">
        <f>+MIN(E18:M18)</f>
        <v>1022620.9235954718</v>
      </c>
      <c r="E24" s="57"/>
      <c r="F24" s="57"/>
    </row>
    <row r="26" spans="2:3" ht="15.75">
      <c r="B26" s="105" t="s">
        <v>61</v>
      </c>
      <c r="C26" s="148">
        <f>+C23-C24</f>
        <v>921709.5305623291</v>
      </c>
    </row>
    <row r="28" ht="15.75">
      <c r="C28" s="14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1:M64"/>
  <sheetViews>
    <sheetView showGridLines="0" tabSelected="1" zoomScalePageLayoutView="0" workbookViewId="0" topLeftCell="A1">
      <selection activeCell="D62" sqref="D62"/>
    </sheetView>
  </sheetViews>
  <sheetFormatPr defaultColWidth="11.421875" defaultRowHeight="12.75"/>
  <cols>
    <col min="1" max="1" width="7.57421875" style="57" customWidth="1"/>
    <col min="2" max="2" width="20.140625" style="57" customWidth="1"/>
    <col min="3" max="3" width="0.85546875" style="118" customWidth="1"/>
    <col min="4" max="4" width="13.7109375" style="57" customWidth="1"/>
    <col min="5" max="5" width="0.85546875" style="57" customWidth="1"/>
    <col min="6" max="7" width="13.7109375" style="57" customWidth="1"/>
    <col min="8" max="8" width="0.85546875" style="99" customWidth="1"/>
    <col min="9" max="9" width="16.28125" style="57" customWidth="1"/>
    <col min="10" max="10" width="0.85546875" style="99" customWidth="1"/>
    <col min="11" max="11" width="11.57421875" style="57" bestFit="1" customWidth="1"/>
    <col min="12" max="16384" width="11.421875" style="57" customWidth="1"/>
  </cols>
  <sheetData>
    <row r="1" ht="15.75">
      <c r="B1" s="101" t="s">
        <v>122</v>
      </c>
    </row>
    <row r="3" spans="2:11" ht="16.5" thickBot="1">
      <c r="B3" s="64" t="s">
        <v>123</v>
      </c>
      <c r="C3" s="64"/>
      <c r="D3" s="64"/>
      <c r="E3" s="64"/>
      <c r="F3" s="64"/>
      <c r="G3" s="64"/>
      <c r="H3" s="64"/>
      <c r="I3" s="64"/>
      <c r="J3" s="64"/>
      <c r="K3" s="64"/>
    </row>
    <row r="4" ht="16.5" thickTop="1"/>
    <row r="6" spans="6:7" ht="15.75">
      <c r="F6" s="174" t="s">
        <v>124</v>
      </c>
      <c r="G6" s="174"/>
    </row>
    <row r="7" spans="2:7" ht="15.75">
      <c r="B7" s="57" t="str">
        <f>+'CÀLCUL 4'!M4</f>
        <v>Optimista</v>
      </c>
      <c r="F7" s="173">
        <f>+'CÀLCUL 4'!M18</f>
        <v>1944330.4541578009</v>
      </c>
      <c r="G7" s="173"/>
    </row>
    <row r="8" spans="2:7" ht="15.75">
      <c r="B8" s="57" t="str">
        <f>+'CÀLCUL 4'!K4</f>
        <v>Optimista moderat</v>
      </c>
      <c r="F8" s="173">
        <f>+'CÀLCUL 4'!K18</f>
        <v>1591080.071833651</v>
      </c>
      <c r="G8" s="173"/>
    </row>
    <row r="9" spans="2:7" ht="15.75">
      <c r="B9" s="57" t="str">
        <f>+'CÀLCUL 4'!I4</f>
        <v>Pessimista moderat</v>
      </c>
      <c r="F9" s="173">
        <f>+'CÀLCUL 4'!I18</f>
        <v>1162635.7804805133</v>
      </c>
      <c r="G9" s="173"/>
    </row>
    <row r="10" spans="2:7" ht="15.75">
      <c r="B10" s="57" t="str">
        <f>+'CÀLCUL 4'!G4</f>
        <v>Pessimista </v>
      </c>
      <c r="F10" s="173">
        <f>+'CÀLCUL 4'!G18</f>
        <v>1022620.9235954718</v>
      </c>
      <c r="G10" s="173"/>
    </row>
    <row r="12" ht="15.75">
      <c r="C12" s="57"/>
    </row>
    <row r="13" spans="2:11" ht="16.5" thickBot="1">
      <c r="B13" s="64" t="s">
        <v>125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6:7" ht="16.5" thickTop="1">
      <c r="F14" s="155"/>
      <c r="G14" s="155"/>
    </row>
    <row r="15" spans="2:9" ht="15.75">
      <c r="B15" s="56" t="str">
        <f>CONCATENATE('CÀLCUL 1'!C12," ","inicial")</f>
        <v>Patrimoni net inicial</v>
      </c>
      <c r="C15" s="101"/>
      <c r="D15" s="56"/>
      <c r="E15" s="56"/>
      <c r="F15" s="56"/>
      <c r="G15" s="156"/>
      <c r="H15" s="160"/>
      <c r="I15" s="161">
        <f>+'CÀLCUL 1'!N12</f>
        <v>598087</v>
      </c>
    </row>
    <row r="16" spans="6:7" ht="15.75">
      <c r="F16" s="155"/>
      <c r="G16" s="155"/>
    </row>
    <row r="17" spans="2:9" ht="15.75">
      <c r="B17" s="157"/>
      <c r="D17" s="157" t="s">
        <v>126</v>
      </c>
      <c r="G17" s="162" t="s">
        <v>62</v>
      </c>
      <c r="I17" s="157" t="s">
        <v>127</v>
      </c>
    </row>
    <row r="18" spans="2:9" ht="16.5" thickBot="1">
      <c r="B18" s="135" t="str">
        <f>+'CÀLCUL 1'!C8</f>
        <v>Actiu no corrent</v>
      </c>
      <c r="C18" s="136"/>
      <c r="D18" s="158">
        <f>+'CÀLCUL 1'!N8</f>
        <v>258300</v>
      </c>
      <c r="G18" s="137">
        <f>563000-D18</f>
        <v>304700</v>
      </c>
      <c r="I18" s="159">
        <f>+D18+G18</f>
        <v>563000</v>
      </c>
    </row>
    <row r="19" spans="2:13" ht="17.25" thickBot="1" thickTop="1">
      <c r="B19" s="135" t="str">
        <f>+'CÀLCUL 1'!C9</f>
        <v>Actiu corrent</v>
      </c>
      <c r="D19" s="158">
        <f>+'CÀLCUL 1'!N9</f>
        <v>487278</v>
      </c>
      <c r="G19" s="137">
        <v>-62000</v>
      </c>
      <c r="I19" s="159">
        <f>+D19+G19</f>
        <v>425278</v>
      </c>
      <c r="M19" s="163"/>
    </row>
    <row r="20" spans="2:9" ht="17.25" thickBot="1" thickTop="1">
      <c r="B20" s="135" t="str">
        <f>+'CÀLCUL 1'!C13</f>
        <v>Passiu no corrent</v>
      </c>
      <c r="D20" s="158">
        <f>+'CÀLCUL 1'!N13</f>
        <v>111531</v>
      </c>
      <c r="G20" s="137"/>
      <c r="I20" s="159">
        <f>+D20+G20</f>
        <v>111531</v>
      </c>
    </row>
    <row r="21" spans="2:9" ht="17.25" thickBot="1" thickTop="1">
      <c r="B21" s="135" t="str">
        <f>+'CÀLCUL 1'!C14</f>
        <v>Passiu corrent</v>
      </c>
      <c r="D21" s="158">
        <f>+'CÀLCUL 1'!N14</f>
        <v>35960</v>
      </c>
      <c r="G21" s="137">
        <v>50000</v>
      </c>
      <c r="I21" s="159">
        <f>+D21+G21</f>
        <v>85960</v>
      </c>
    </row>
    <row r="22" spans="6:7" ht="16.5" thickTop="1">
      <c r="F22" s="164"/>
      <c r="G22" s="164"/>
    </row>
    <row r="23" spans="2:9" ht="16.5" thickBot="1">
      <c r="B23" s="141" t="s">
        <v>128</v>
      </c>
      <c r="C23" s="141"/>
      <c r="D23" s="141"/>
      <c r="F23" s="160"/>
      <c r="G23" s="160"/>
      <c r="I23" s="142">
        <f>+I18+I19-I20-I21</f>
        <v>790787</v>
      </c>
    </row>
    <row r="24" spans="6:7" ht="16.5" thickTop="1">
      <c r="F24" s="164"/>
      <c r="G24" s="164"/>
    </row>
    <row r="26" spans="2:11" ht="16.5" thickBot="1">
      <c r="B26" s="64" t="s">
        <v>129</v>
      </c>
      <c r="C26" s="64"/>
      <c r="D26" s="64"/>
      <c r="E26" s="64"/>
      <c r="F26" s="64"/>
      <c r="G26" s="64"/>
      <c r="H26" s="64"/>
      <c r="I26" s="64"/>
      <c r="J26" s="64"/>
      <c r="K26" s="64"/>
    </row>
    <row r="27" ht="16.5" thickTop="1"/>
    <row r="28" ht="15.75">
      <c r="B28" s="57" t="s">
        <v>55</v>
      </c>
    </row>
    <row r="30" spans="2:11" ht="15.75">
      <c r="B30" s="106"/>
      <c r="C30" s="101"/>
      <c r="D30" s="108" t="s">
        <v>46</v>
      </c>
      <c r="E30" s="108"/>
      <c r="F30" s="108" t="s">
        <v>47</v>
      </c>
      <c r="G30" s="108" t="s">
        <v>48</v>
      </c>
      <c r="H30" s="119"/>
      <c r="I30" s="108" t="s">
        <v>49</v>
      </c>
      <c r="J30" s="119"/>
      <c r="K30" s="108" t="s">
        <v>52</v>
      </c>
    </row>
    <row r="31" spans="2:9" ht="15.75">
      <c r="B31" s="133"/>
      <c r="C31" s="134"/>
      <c r="D31" s="133"/>
      <c r="E31" s="133"/>
      <c r="F31" s="133"/>
      <c r="G31" s="133"/>
      <c r="H31" s="133"/>
      <c r="I31" s="133"/>
    </row>
    <row r="32" spans="2:11" ht="15.75">
      <c r="B32" s="135" t="s">
        <v>60</v>
      </c>
      <c r="C32" s="136"/>
      <c r="D32" s="137">
        <v>1550000</v>
      </c>
      <c r="E32" s="137"/>
      <c r="F32" s="137">
        <v>1675000</v>
      </c>
      <c r="G32" s="137">
        <v>1050000</v>
      </c>
      <c r="H32" s="140"/>
      <c r="I32" s="137">
        <f>TRIMMEAN(D32:G32,0)</f>
        <v>1425000</v>
      </c>
      <c r="J32" s="138"/>
      <c r="K32" s="137"/>
    </row>
    <row r="33" spans="2:11" ht="15.75">
      <c r="B33" s="135" t="s">
        <v>44</v>
      </c>
      <c r="C33" s="136"/>
      <c r="D33" s="137">
        <v>1175000</v>
      </c>
      <c r="E33" s="137"/>
      <c r="F33" s="137">
        <v>1475000</v>
      </c>
      <c r="G33" s="137">
        <v>875000</v>
      </c>
      <c r="H33" s="140"/>
      <c r="I33" s="137">
        <f>TRIMMEAN(D33:G33,0)</f>
        <v>1175000</v>
      </c>
      <c r="J33" s="138"/>
      <c r="K33" s="139">
        <f>+I32/I33</f>
        <v>1.2127659574468086</v>
      </c>
    </row>
    <row r="34" spans="2:11" ht="15.75">
      <c r="B34" s="135" t="s">
        <v>43</v>
      </c>
      <c r="C34" s="136"/>
      <c r="D34" s="137">
        <v>81000</v>
      </c>
      <c r="E34" s="137"/>
      <c r="F34" s="137">
        <v>127000</v>
      </c>
      <c r="G34" s="137">
        <v>64000</v>
      </c>
      <c r="H34" s="140"/>
      <c r="I34" s="137">
        <f>TRIMMEAN(D34:G34,0)</f>
        <v>90666.66666666667</v>
      </c>
      <c r="J34" s="138"/>
      <c r="K34" s="139">
        <f>+I32/I34</f>
        <v>15.716911764705882</v>
      </c>
    </row>
    <row r="35" spans="2:11" ht="15.75">
      <c r="B35" s="135" t="s">
        <v>45</v>
      </c>
      <c r="C35" s="136"/>
      <c r="D35" s="137">
        <v>54250</v>
      </c>
      <c r="E35" s="137"/>
      <c r="F35" s="137">
        <v>70675</v>
      </c>
      <c r="G35" s="137">
        <v>44150</v>
      </c>
      <c r="H35" s="140"/>
      <c r="I35" s="137">
        <f>TRIMMEAN(D35:G35,0)</f>
        <v>56358.333333333336</v>
      </c>
      <c r="J35" s="138"/>
      <c r="K35" s="139">
        <f>+I32/I35</f>
        <v>25.284636995416236</v>
      </c>
    </row>
    <row r="38" ht="15.75">
      <c r="B38" s="57" t="s">
        <v>56</v>
      </c>
    </row>
    <row r="39" ht="15.75">
      <c r="C39" s="26"/>
    </row>
    <row r="40" spans="2:9" ht="15.75">
      <c r="B40" s="106"/>
      <c r="C40" s="106"/>
      <c r="D40" s="108" t="s">
        <v>52</v>
      </c>
      <c r="E40" s="101"/>
      <c r="F40" s="179" t="s">
        <v>130</v>
      </c>
      <c r="G40" s="179"/>
      <c r="H40" s="101"/>
      <c r="I40" s="108" t="s">
        <v>124</v>
      </c>
    </row>
    <row r="41" ht="15.75">
      <c r="E41" s="99"/>
    </row>
    <row r="42" spans="2:9" ht="16.5" thickBot="1">
      <c r="B42" s="141" t="s">
        <v>44</v>
      </c>
      <c r="D42" s="143">
        <f>+K33</f>
        <v>1.2127659574468086</v>
      </c>
      <c r="E42" s="144"/>
      <c r="F42" s="175">
        <f>TRIMMEAN('CÀLCUL 1'!E18:N18,0)</f>
        <v>1061632.25</v>
      </c>
      <c r="G42" s="176"/>
      <c r="I42" s="142">
        <f>+F42*D42</f>
        <v>1287511.4521276597</v>
      </c>
    </row>
    <row r="43" spans="2:9" ht="17.25" thickBot="1" thickTop="1">
      <c r="B43" s="141" t="s">
        <v>43</v>
      </c>
      <c r="D43" s="143">
        <f>+K34</f>
        <v>15.716911764705882</v>
      </c>
      <c r="E43" s="144"/>
      <c r="F43" s="177">
        <f>(+'CÀLCUL 1'!N26-'CÀLCUL 1'!N23+'CÀLCUL 1'!K26-'CÀLCUL 1'!K23+'CÀLCUL 1'!H26-'CÀLCUL 1'!H23+'CÀLCUL 1'!E26-'CÀLCUL 1'!E23)/4</f>
        <v>67095.75</v>
      </c>
      <c r="G43" s="178"/>
      <c r="I43" s="142">
        <f>+F43*D43</f>
        <v>1054537.9825367646</v>
      </c>
    </row>
    <row r="44" spans="2:9" ht="17.25" thickBot="1" thickTop="1">
      <c r="B44" s="141" t="s">
        <v>45</v>
      </c>
      <c r="D44" s="143">
        <f>+K35</f>
        <v>25.284636995416236</v>
      </c>
      <c r="E44" s="144"/>
      <c r="F44" s="177">
        <f>(+'CÀLCUL 1'!N26-'CÀLCUL 1'!N24+'CÀLCUL 1'!N35+'CÀLCUL 1'!K26-'CÀLCUL 1'!K24+'CÀLCUL 1'!K35+'CÀLCUL 1'!H26-'CÀLCUL 1'!H24+'CÀLCUL 1'!H35+'CÀLCUL 1'!E26-'CÀLCUL 1'!E24+'CÀLCUL 1'!E35)/4</f>
        <v>40288.75</v>
      </c>
      <c r="G44" s="178"/>
      <c r="I44" s="142">
        <f>+F44*D44</f>
        <v>1018686.4187490758</v>
      </c>
    </row>
    <row r="45" ht="16.5" thickTop="1"/>
    <row r="46" ht="15.75">
      <c r="B46" s="57" t="s">
        <v>57</v>
      </c>
    </row>
    <row r="48" spans="2:6" ht="15.75">
      <c r="B48" s="108" t="s">
        <v>58</v>
      </c>
      <c r="C48" s="108"/>
      <c r="D48" s="108"/>
      <c r="F48" s="108" t="s">
        <v>124</v>
      </c>
    </row>
    <row r="49" spans="2:10" s="150" customFormat="1" ht="15.75">
      <c r="B49" s="149"/>
      <c r="C49" s="149"/>
      <c r="D49" s="149"/>
      <c r="F49" s="151"/>
      <c r="H49" s="118"/>
      <c r="J49" s="118"/>
    </row>
    <row r="50" spans="2:6" ht="15.75">
      <c r="B50" s="152" t="str">
        <f>+B7</f>
        <v>Optimista</v>
      </c>
      <c r="C50" s="152"/>
      <c r="D50" s="152"/>
      <c r="F50" s="153">
        <f>+F7</f>
        <v>1944330.4541578009</v>
      </c>
    </row>
    <row r="51" spans="2:6" ht="15.75">
      <c r="B51" s="152" t="str">
        <f>+B8</f>
        <v>Optimista moderat</v>
      </c>
      <c r="C51" s="152"/>
      <c r="D51" s="152"/>
      <c r="F51" s="153">
        <f>+F8</f>
        <v>1591080.071833651</v>
      </c>
    </row>
    <row r="52" spans="2:6" ht="15.75">
      <c r="B52" s="152" t="str">
        <f>+B9</f>
        <v>Pessimista moderat</v>
      </c>
      <c r="C52" s="152"/>
      <c r="D52" s="152"/>
      <c r="F52" s="153">
        <f>+F9</f>
        <v>1162635.7804805133</v>
      </c>
    </row>
    <row r="53" spans="2:6" ht="15.75">
      <c r="B53" s="152" t="str">
        <f>+B10</f>
        <v>Pessimista </v>
      </c>
      <c r="C53" s="152"/>
      <c r="D53" s="152"/>
      <c r="F53" s="153">
        <f>+F10</f>
        <v>1022620.9235954718</v>
      </c>
    </row>
    <row r="54" spans="2:6" ht="15.75">
      <c r="B54" s="152" t="str">
        <f>+B23</f>
        <v>Patrimoni net ajustat</v>
      </c>
      <c r="C54" s="152"/>
      <c r="D54" s="152"/>
      <c r="F54" s="153">
        <f>+I23</f>
        <v>790787</v>
      </c>
    </row>
    <row r="55" spans="2:6" ht="15.75">
      <c r="B55" s="152" t="str">
        <f>+B42</f>
        <v>Vendes</v>
      </c>
      <c r="C55" s="152"/>
      <c r="D55" s="152"/>
      <c r="F55" s="153">
        <f>+I42</f>
        <v>1287511.4521276597</v>
      </c>
    </row>
    <row r="56" spans="2:6" ht="15.75">
      <c r="B56" s="152" t="str">
        <f>+B43</f>
        <v>BAAIT</v>
      </c>
      <c r="C56" s="152"/>
      <c r="D56" s="152"/>
      <c r="F56" s="153">
        <f>+I43</f>
        <v>1054537.9825367646</v>
      </c>
    </row>
    <row r="57" spans="2:6" ht="15.75">
      <c r="B57" s="152" t="str">
        <f>+B44</f>
        <v>BOIT</v>
      </c>
      <c r="C57" s="152"/>
      <c r="D57" s="152"/>
      <c r="F57" s="153">
        <f>+I44</f>
        <v>1018686.4187490758</v>
      </c>
    </row>
    <row r="58" ht="15.75">
      <c r="D58" s="147"/>
    </row>
    <row r="59" spans="2:10" ht="15.75">
      <c r="B59" s="57" t="s">
        <v>54</v>
      </c>
      <c r="C59" s="57"/>
      <c r="F59" s="154">
        <f>+MIN(F50:F57)</f>
        <v>790787</v>
      </c>
      <c r="H59" s="57"/>
      <c r="J59" s="57"/>
    </row>
    <row r="60" spans="2:10" ht="15.75">
      <c r="B60" s="57" t="s">
        <v>53</v>
      </c>
      <c r="C60" s="57"/>
      <c r="F60" s="154">
        <f>+MAX(F50:F57)</f>
        <v>1944330.4541578009</v>
      </c>
      <c r="H60" s="57"/>
      <c r="J60" s="57"/>
    </row>
    <row r="61" spans="2:10" ht="15.75">
      <c r="B61" s="57" t="s">
        <v>59</v>
      </c>
      <c r="C61" s="57"/>
      <c r="F61" s="154">
        <f>TRIMMEAN(F50:F57,0)</f>
        <v>1234023.7604351172</v>
      </c>
      <c r="H61" s="57"/>
      <c r="J61" s="57"/>
    </row>
    <row r="62" spans="2:10" ht="15.75">
      <c r="B62" s="57" t="s">
        <v>61</v>
      </c>
      <c r="C62" s="57"/>
      <c r="F62" s="154">
        <f>+F60-F59</f>
        <v>1153543.4541578009</v>
      </c>
      <c r="H62" s="57"/>
      <c r="J62" s="57"/>
    </row>
    <row r="63" spans="3:10" ht="15.75">
      <c r="C63" s="57"/>
      <c r="H63" s="57"/>
      <c r="J63" s="57"/>
    </row>
    <row r="64" spans="3:10" ht="15.75">
      <c r="C64" s="57"/>
      <c r="H64" s="57"/>
      <c r="J64" s="57"/>
    </row>
  </sheetData>
  <sheetProtection/>
  <mergeCells count="9">
    <mergeCell ref="F43:G43"/>
    <mergeCell ref="F44:G44"/>
    <mergeCell ref="F40:G40"/>
    <mergeCell ref="F10:G10"/>
    <mergeCell ref="F6:G6"/>
    <mergeCell ref="F7:G7"/>
    <mergeCell ref="F8:G8"/>
    <mergeCell ref="F9:G9"/>
    <mergeCell ref="F42:G42"/>
  </mergeCells>
  <printOptions/>
  <pageMargins left="0.53" right="0.39" top="0.58" bottom="0.65" header="0" footer="0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afitob</cp:lastModifiedBy>
  <cp:lastPrinted>2011-09-13T13:36:24Z</cp:lastPrinted>
  <dcterms:created xsi:type="dcterms:W3CDTF">2011-06-10T11:24:22Z</dcterms:created>
  <dcterms:modified xsi:type="dcterms:W3CDTF">2013-08-01T10:06:21Z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